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omments1.xml" ContentType="application/vnd.openxmlformats-officedocument.spreadsheetml.comments+xml"/>
  <Override PartName="/xl/drawings/drawing2.xml" ContentType="application/vnd.openxmlformats-officedocument.drawing+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drawings/drawing3.xml" ContentType="application/vnd.openxmlformats-officedocument.drawing+xml"/>
  <Override PartName="/xl/drawings/drawing4.xml" ContentType="application/vnd.openxmlformats-officedocument.drawing+xml"/>
  <Override PartName="/xl/ctrlProps/ctrlProp22.xml" ContentType="application/vnd.ms-excel.controlproperties+xml"/>
  <Override PartName="/xl/drawings/drawing5.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drawings/drawing6.xml" ContentType="application/vnd.openxmlformats-officedocument.drawing+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drawings/drawing7.xml" ContentType="application/vnd.openxmlformats-officedocument.drawing+xml"/>
  <Override PartName="/xl/charts/chart11.xml" ContentType="application/vnd.openxmlformats-officedocument.drawingml.chart+xml"/>
  <Override PartName="/xl/drawings/drawing8.xml" ContentType="application/vnd.openxmlformats-officedocument.drawing+xml"/>
  <Override PartName="/xl/embeddings/oleObject1.bin" ContentType="application/vnd.openxmlformats-officedocument.oleObject"/>
  <Override PartName="/xl/comments2.xml" ContentType="application/vnd.openxmlformats-officedocument.spreadsheetml.comments+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drawings/drawing9.xml" ContentType="application/vnd.openxmlformats-officedocument.drawingml.chartshapes+xml"/>
  <Override PartName="/xl/charts/chart16.xml" ContentType="application/vnd.openxmlformats-officedocument.drawingml.chart+xml"/>
  <Override PartName="/xl/drawings/drawing10.xml" ContentType="application/vnd.openxmlformats-officedocument.drawingml.chartshapes+xml"/>
  <Override PartName="/xl/charts/chart17.xml" ContentType="application/vnd.openxmlformats-officedocument.drawingml.chart+xml"/>
  <Override PartName="/xl/drawings/drawing11.xml" ContentType="application/vnd.openxmlformats-officedocument.drawing+xml"/>
  <Override PartName="/xl/charts/chart18.xml" ContentType="application/vnd.openxmlformats-officedocument.drawingml.chart+xml"/>
  <Override PartName="/xl/charts/chart19.xml" ContentType="application/vnd.openxmlformats-officedocument.drawingml.chart+xml"/>
  <Override PartName="/xl/drawings/drawing12.xml" ContentType="application/vnd.openxmlformats-officedocument.drawing+xml"/>
  <Override PartName="/xl/charts/chart20.xml" ContentType="application/vnd.openxmlformats-officedocument.drawingml.chart+xml"/>
  <Override PartName="/xl/charts/chart21.xml" ContentType="application/vnd.openxmlformats-officedocument.drawingml.chart+xml"/>
  <Override PartName="/xl/drawings/drawing1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showInkAnnotation="0" codeName="ThisWorkbook" autoCompressPictures="0"/>
  <workbookProtection workbookPassword="CCC8" lockStructure="1"/>
  <bookViews>
    <workbookView xWindow="-60" yWindow="-45" windowWidth="7230" windowHeight="6675" tabRatio="420"/>
  </bookViews>
  <sheets>
    <sheet name="Design Converter" sheetId="1" r:id="rId1"/>
    <sheet name="BOM &amp; Schematic" sheetId="16" r:id="rId2"/>
    <sheet name="EVMs" sheetId="14" r:id="rId3"/>
    <sheet name="Variable Mgmt" sheetId="2" state="hidden" r:id="rId4"/>
    <sheet name="Calculations - Single" sheetId="24" state="hidden" r:id="rId5"/>
    <sheet name="Calculations - Dual" sheetId="25" state="hidden" r:id="rId6"/>
    <sheet name="Fsw vs VIN" sheetId="23" state="hidden" r:id="rId7"/>
    <sheet name="Parameters" sheetId="19" state="hidden" r:id="rId8"/>
    <sheet name="Efficiency Plots" sheetId="22" state="hidden" r:id="rId9"/>
    <sheet name="Fsw Plots" sheetId="28" state="hidden" r:id="rId10"/>
    <sheet name="Schematic Mgmt" sheetId="21" state="hidden" r:id="rId11"/>
    <sheet name="Standard Value Calculator" sheetId="8" state="hidden" r:id="rId12"/>
  </sheets>
  <definedNames>
    <definedName name="_Don1">'Variable Mgmt'!$B$60</definedName>
    <definedName name="BDserR">Parameters!$D$48</definedName>
    <definedName name="Cb">'Variable Mgmt'!$B$154</definedName>
    <definedName name="Cin" localSheetId="7">Parameters!$D$30</definedName>
    <definedName name="Cin">'Variable Mgmt'!$B$120</definedName>
    <definedName name="CinEsrMax">'Variable Mgmt'!$B$122</definedName>
    <definedName name="Cinmin">'Variable Mgmt'!$B$118</definedName>
    <definedName name="CONFIG">'Variable Mgmt'!$C$52</definedName>
    <definedName name="Coss">Parameters!$D$43</definedName>
    <definedName name="Cout" localSheetId="7">Parameters!$D$32</definedName>
    <definedName name="Cout">'Variable Mgmt'!$B$95</definedName>
    <definedName name="Cout_Voltage_Rating">'Variable Mgmt'!$S$53</definedName>
    <definedName name="Cout2">'Variable Mgmt'!$B$105</definedName>
    <definedName name="CoutEsr">'Variable Mgmt'!$B$97</definedName>
    <definedName name="CoutEsr2">'Variable Mgmt'!$B$107</definedName>
    <definedName name="Css">'Variable Mgmt'!$B$134</definedName>
    <definedName name="Css_u">'Variable Mgmt'!$B$135</definedName>
    <definedName name="Csw">Parameters!$D$44</definedName>
    <definedName name="Diode_TC">'Variable Mgmt'!$B$165</definedName>
    <definedName name="Don_Vinmax">'Variable Mgmt'!$B$63</definedName>
    <definedName name="Don_Vinmin">'Variable Mgmt'!$B$61</definedName>
    <definedName name="Don_Vinnom">'Variable Mgmt'!$B$62</definedName>
    <definedName name="EFF_DUAL">'Efficiency Plots'!$B$7</definedName>
    <definedName name="EFF_SINGLE">'Efficiency Plots'!$B$5</definedName>
    <definedName name="Efficiency">'Variable Mgmt'!$B$33</definedName>
    <definedName name="Fsw" localSheetId="7">Parameters!$D$20</definedName>
    <definedName name="Fsw_DCM">'Variable Mgmt'!$B$39</definedName>
    <definedName name="Fsw_DUAL">'Fsw Plots'!$B$7</definedName>
    <definedName name="Fsw_max">Parameters!$D$21</definedName>
    <definedName name="Fsw_SINGLE">'Fsw Plots'!$B$5</definedName>
    <definedName name="Icinrms">'Variable Mgmt'!$B$117</definedName>
    <definedName name="Icoutrms">'Variable Mgmt'!$B$89</definedName>
    <definedName name="Iin_Vinmax">'Variable Mgmt'!$B$37</definedName>
    <definedName name="Iin_Vinmin">'Variable Mgmt'!$B$35</definedName>
    <definedName name="Iin_Vinnom">'Variable Mgmt'!$B$36</definedName>
    <definedName name="Iout">'Variable Mgmt'!$B$12</definedName>
    <definedName name="Iout_max">Parameters!$D$10</definedName>
    <definedName name="Iout2">'Variable Mgmt'!$B$18</definedName>
    <definedName name="Iout2_actual">'Variable Mgmt'!$B$19</definedName>
    <definedName name="Ioutmax_Vinmax" localSheetId="5">'Calculations - Dual'!$Q$216</definedName>
    <definedName name="Ioutmax_Vinmax">'Calculations - Single'!$P$216</definedName>
    <definedName name="Ioutmax_Vinmin" localSheetId="5">'Calculations - Dual'!$Q$110</definedName>
    <definedName name="Ioutmax_Vinmin">'Calculations - Single'!$P$110</definedName>
    <definedName name="Ioutmax_Vinnom" localSheetId="5">'Calculations - Dual'!$Q$5</definedName>
    <definedName name="Ioutmax_Vinnom">'Calculations - Single'!$P$5</definedName>
    <definedName name="IQ">Parameters!$D$38</definedName>
    <definedName name="Iripple">Parameters!$D$19</definedName>
    <definedName name="Iripple_Vinmax" localSheetId="5">'Variable Mgmt'!#REF!</definedName>
    <definedName name="Iripple_Vinmax" localSheetId="9">'Variable Mgmt'!#REF!</definedName>
    <definedName name="Iripple_Vinmax">'Variable Mgmt'!#REF!</definedName>
    <definedName name="Iripple_Vinmin" localSheetId="5">'Variable Mgmt'!#REF!</definedName>
    <definedName name="Iripple_Vinmin" localSheetId="9">'Variable Mgmt'!#REF!</definedName>
    <definedName name="Iripple_Vinmin">'Variable Mgmt'!#REF!</definedName>
    <definedName name="Iripple_Vinnom" localSheetId="5">'Variable Mgmt'!#REF!</definedName>
    <definedName name="Iripple_Vinnom" localSheetId="9">'Variable Mgmt'!#REF!</definedName>
    <definedName name="Iripple_Vinnom">'Variable Mgmt'!#REF!</definedName>
    <definedName name="Iripple1" localSheetId="5">'Variable Mgmt'!#REF!</definedName>
    <definedName name="Iripple1" localSheetId="9">'Variable Mgmt'!#REF!</definedName>
    <definedName name="Iripple1">'Variable Mgmt'!#REF!</definedName>
    <definedName name="Iss">'Variable Mgmt'!$B$133</definedName>
    <definedName name="Isw_max">Parameters!$D$35</definedName>
    <definedName name="Isw_min">Parameters!$D$36</definedName>
    <definedName name="Iuvlo_hys">'Variable Mgmt'!$B$144</definedName>
    <definedName name="Iuvlo1">'Variable Mgmt'!$B$142</definedName>
    <definedName name="Iuvlo2">'Variable Mgmt'!$B$143</definedName>
    <definedName name="k_core">Parameters!$D$29</definedName>
    <definedName name="L">Parameters!$D$26</definedName>
    <definedName name="Lf">'Variable Mgmt'!$B$73</definedName>
    <definedName name="Lleak">'Variable Mgmt'!$B$74</definedName>
    <definedName name="Lmin">'Variable Mgmt'!$B$84</definedName>
    <definedName name="Ltc">'Variable Mgmt'!$B$176</definedName>
    <definedName name="max_I">Parameters!$H$109</definedName>
    <definedName name="min_I">Parameters!$H$108</definedName>
    <definedName name="MODE">'Variable Mgmt'!$C$51</definedName>
    <definedName name="MODE_SS">'Variable Mgmt'!$J$56</definedName>
    <definedName name="MODE_TC">'Variable Mgmt'!$G$50</definedName>
    <definedName name="MODE_TOP">'Variable Mgmt'!$B$51</definedName>
    <definedName name="MODE_UVLO">'Variable Mgmt'!$G$56</definedName>
    <definedName name="Npri_sec1">'Variable Mgmt'!$R$41</definedName>
    <definedName name="Npri_sec2">'Variable Mgmt'!$R$43</definedName>
    <definedName name="Nps">'Variable Mgmt'!$R$40</definedName>
    <definedName name="Nsec1sec2">'Variable Mgmt'!$R$42</definedName>
    <definedName name="OffTime">Parameters!$D$18</definedName>
    <definedName name="OnTime">Parameters!$D$17</definedName>
    <definedName name="Pi">'Variable Mgmt'!$B$157</definedName>
    <definedName name="PICTURE1">INDIRECT('Schematic Mgmt'!$A$2)</definedName>
    <definedName name="PICTURE2">INDIRECT('Fsw Plots'!$A$2)</definedName>
    <definedName name="PICTURE3">INDIRECT('Efficiency Plots'!$A$2)</definedName>
    <definedName name="Pin">'Variable Mgmt'!$B$34</definedName>
    <definedName name="PLOT_TYPE">'Variable Mgmt'!$M$56</definedName>
    <definedName name="Pout">'Variable Mgmt'!$B$14</definedName>
    <definedName name="Pout_total">'Variable Mgmt'!$B$22</definedName>
    <definedName name="Pout2">'Variable Mgmt'!$B$21</definedName>
    <definedName name="_xlnm.Print_Area" localSheetId="1">'BOM &amp; Schematic'!$A$1:$I$50</definedName>
    <definedName name="_xlnm.Print_Area" localSheetId="0">'Design Converter'!$A$1:$R$48</definedName>
    <definedName name="Qg">Parameters!$D$42</definedName>
    <definedName name="RCinEsr" localSheetId="7">Parameters!$D$31</definedName>
    <definedName name="RCinEsr">'Variable Mgmt'!$B$123</definedName>
    <definedName name="RCoutEsr" localSheetId="7">Parameters!$D$33</definedName>
    <definedName name="RCoutEsr">'Variable Mgmt'!$B$97</definedName>
    <definedName name="Rdcr_pri">'Variable Mgmt'!$B$75</definedName>
    <definedName name="Rdcr_sec">'Variable Mgmt'!$B$76</definedName>
    <definedName name="Rdcr_sec2">'Variable Mgmt'!$B$77</definedName>
    <definedName name="Rdson">Parameters!$D$40</definedName>
    <definedName name="Rfb">'Variable Mgmt'!$B$41</definedName>
    <definedName name="Rfb_recommend">'Variable Mgmt'!$B$161</definedName>
    <definedName name="Rfb2_u">'Variable Mgmt'!$B$163</definedName>
    <definedName name="Rout">'Variable Mgmt'!$B$13</definedName>
    <definedName name="Rout2">'Variable Mgmt'!$B$20</definedName>
    <definedName name="Rpg" localSheetId="9">'Variable Mgmt'!#REF!</definedName>
    <definedName name="Rpg">'Variable Mgmt'!#REF!</definedName>
    <definedName name="rr">Parameters!$H$110</definedName>
    <definedName name="RTC">'Variable Mgmt'!$B$167</definedName>
    <definedName name="RTC_1">'Variable Mgmt'!$B$166</definedName>
    <definedName name="Ruvlo1">'Variable Mgmt'!$B$149</definedName>
    <definedName name="Ruvlo2">'Variable Mgmt'!$B$150</definedName>
    <definedName name="SCH_BIPOLAR_UVLOadj_SSadj_TCno">'Schematic Mgmt'!$H$21</definedName>
    <definedName name="SCH_BIPOLAR_UVLOadj_SSadj_TCyes">'Schematic Mgmt'!$H$7</definedName>
    <definedName name="SCH_BIPOLAR_UVLOadj_SSint_TCno">'Schematic Mgmt'!$H$19</definedName>
    <definedName name="SCH_BIPOLAR_UVLOadj_SSint_TCyes">'Schematic Mgmt'!$H$17</definedName>
    <definedName name="SCH_BIPOLAR_UVLOint_SSadj_TCno">'Schematic Mgmt'!$H$15</definedName>
    <definedName name="SCH_BIPOLAR_UVLOint_SSadj_TCyes">'Schematic Mgmt'!$H$9</definedName>
    <definedName name="SCH_BIPOLAR_UVLOint_SSint_TCno">'Schematic Mgmt'!$H$13</definedName>
    <definedName name="SCH_BIPOLAR_UVLOint_SSint_TCyes">'Schematic Mgmt'!$H$11</definedName>
    <definedName name="SCH_DUAL_UVLOadj_SSadj_TCno">'Schematic Mgmt'!$E$21</definedName>
    <definedName name="SCH_DUAL_UVLOadj_SSadj_TCyes">'Schematic Mgmt'!$E$7</definedName>
    <definedName name="SCH_DUAL_UVLOadj_SSint_TCno">'Schematic Mgmt'!$E$19</definedName>
    <definedName name="SCH_DUAL_UVLOadj_SSint_TCyes">'Schematic Mgmt'!$E$17</definedName>
    <definedName name="SCH_DUAL_UVLOint_SSadj_TCno">'Schematic Mgmt'!$E$15</definedName>
    <definedName name="SCH_DUAL_UVLOint_SSadj_TCyes">'Schematic Mgmt'!$E$9</definedName>
    <definedName name="SCH_DUAL_UVLOint_SSint_TCno">'Schematic Mgmt'!$E$13</definedName>
    <definedName name="SCH_DUAL_UVLOint_SSint_TCyes">'Schematic Mgmt'!$E$11</definedName>
    <definedName name="SCH_SINGLE_UVLOadj_SSadj_TCno">'Schematic Mgmt'!$B$21</definedName>
    <definedName name="SCH_SINGLE_UVLOadj_SSadj_TCyes">'Schematic Mgmt'!$B$7</definedName>
    <definedName name="SCH_SINGLE_UVLOadj_SSint_TCno">'Schematic Mgmt'!$B$19</definedName>
    <definedName name="SCH_SINGLE_UVLOadj_SSint_TCyes">'Schematic Mgmt'!$B$17</definedName>
    <definedName name="SCH_SINGLE_UVLOint_SSadj_TCno">'Schematic Mgmt'!$B$15</definedName>
    <definedName name="SCH_SINGLE_UVLOint_SSadj_TCyes">'Schematic Mgmt'!$B$9</definedName>
    <definedName name="SCH_SINGLE_UVLOint_SSint_TCno">'Schematic Mgmt'!$B$13</definedName>
    <definedName name="SCH_SINGLE_UVLOint_SSint_TCyes">'Schematic Mgmt'!$B$11</definedName>
    <definedName name="Ta" localSheetId="7">Parameters!$D$12</definedName>
    <definedName name="Ta">'Variable Mgmt'!$B$174</definedName>
    <definedName name="TC">'Variable Mgmt'!$G$50</definedName>
    <definedName name="Tfall">Parameters!$D$23</definedName>
    <definedName name="ThetaCa">'Variable Mgmt'!$B$177</definedName>
    <definedName name="TL">'Variable Mgmt'!$B$85</definedName>
    <definedName name="Toff_Vinmax">'Variable Mgmt'!$B$158</definedName>
    <definedName name="Ton_Vinmin">'Variable Mgmt'!$B$159</definedName>
    <definedName name="Trise">Parameters!$D$22</definedName>
    <definedName name="TrrBot">Parameters!$D$50</definedName>
    <definedName name="Tss">'Variable Mgmt'!$B$132</definedName>
    <definedName name="Turns_Ratio">'Variable Mgmt'!$S$38</definedName>
    <definedName name="Turns_Ratio2">'Variable Mgmt'!$W$38</definedName>
    <definedName name="Vdd">Parameters!$D$13</definedName>
    <definedName name="Vfwd1">Parameters!$D$46</definedName>
    <definedName name="Vfwd2">Parameters!$D$47</definedName>
    <definedName name="Vin">'Design Converter'!$E$7</definedName>
    <definedName name="VIN_max">'Variable Mgmt'!$B$9</definedName>
    <definedName name="VIN_min">'Variable Mgmt'!$B$7</definedName>
    <definedName name="VIN_nom">'Variable Mgmt'!$B$8</definedName>
    <definedName name="Vinripple1">'Variable Mgmt'!$B$115</definedName>
    <definedName name="Vinripple2">'Variable Mgmt'!$B$128</definedName>
    <definedName name="VINuvlo_off">'Variable Mgmt'!$B$147</definedName>
    <definedName name="VINuvlo_on">'Variable Mgmt'!$B$146</definedName>
    <definedName name="Vout">'Variable Mgmt'!$B$11</definedName>
    <definedName name="Vout_ripple">'Variable Mgmt'!$B$30</definedName>
    <definedName name="Vout_ripple2">'Variable Mgmt'!$B$31</definedName>
    <definedName name="Vout2">'Variable Mgmt'!$B$16</definedName>
    <definedName name="Vout2_actual">'Variable Mgmt'!$B$17</definedName>
    <definedName name="Vref">'Variable Mgmt'!$B$40</definedName>
    <definedName name="Vripple1_actual">'Variable Mgmt'!$B$99</definedName>
    <definedName name="Vripple1_spec">'Variable Mgmt'!$B$93</definedName>
    <definedName name="Vripple2_actual">'Variable Mgmt'!$B$109</definedName>
    <definedName name="Vripple2_spec">'Variable Mgmt'!$B$103</definedName>
    <definedName name="VRRM_DIODE">'Variable Mgmt'!$B$28</definedName>
    <definedName name="Vuvlo_hys">'Variable Mgmt'!$B$141</definedName>
    <definedName name="Vuvlo_off">'Variable Mgmt'!$B$140</definedName>
    <definedName name="Vuvlo_on">'Variable Mgmt'!$B$139</definedName>
  </definedNames>
  <calcPr calcId="145621"/>
</workbook>
</file>

<file path=xl/calcChain.xml><?xml version="1.0" encoding="utf-8"?>
<calcChain xmlns="http://schemas.openxmlformats.org/spreadsheetml/2006/main">
  <c r="BK110" i="25" l="1"/>
  <c r="BP110" i="24"/>
  <c r="BM110" i="24"/>
  <c r="B74" i="2" l="1"/>
  <c r="M10" i="1"/>
  <c r="K10" i="1"/>
  <c r="B36" i="19" l="1"/>
  <c r="B18" i="2" l="1"/>
  <c r="B28" i="19"/>
  <c r="D28" i="19" s="1"/>
  <c r="B47" i="19"/>
  <c r="D47" i="19" s="1"/>
  <c r="BM5" i="24" s="1"/>
  <c r="M1" i="24" l="1"/>
  <c r="BK5" i="25"/>
  <c r="BL5" i="25"/>
  <c r="R41" i="2"/>
  <c r="R40" i="2"/>
  <c r="W41" i="2"/>
  <c r="R38" i="2" l="1"/>
  <c r="R32" i="2"/>
  <c r="R34" i="2"/>
  <c r="K39" i="16" l="1"/>
  <c r="K38" i="16"/>
  <c r="K37" i="16"/>
  <c r="K36" i="16"/>
  <c r="K35" i="16"/>
  <c r="K45" i="16"/>
  <c r="J45" i="16"/>
  <c r="K33" i="16"/>
  <c r="J33" i="16"/>
  <c r="I33" i="16"/>
  <c r="H33" i="16"/>
  <c r="I34" i="16"/>
  <c r="H34" i="16"/>
  <c r="C37" i="16"/>
  <c r="D36" i="16"/>
  <c r="D35" i="16"/>
  <c r="J36" i="16"/>
  <c r="J39" i="16"/>
  <c r="J37" i="16"/>
  <c r="H36" i="16"/>
  <c r="J35" i="16"/>
  <c r="J44" i="16"/>
  <c r="I44" i="16"/>
  <c r="H44" i="16"/>
  <c r="A44" i="16"/>
  <c r="D38" i="16"/>
  <c r="D37" i="16"/>
  <c r="J38" i="16"/>
  <c r="F213" i="2"/>
  <c r="K41" i="16"/>
  <c r="J41" i="16"/>
  <c r="I36" i="16"/>
  <c r="C36" i="16"/>
  <c r="B34" i="16"/>
  <c r="A36" i="16"/>
  <c r="B219" i="2"/>
  <c r="A33" i="16"/>
  <c r="K44" i="16"/>
  <c r="K13" i="1" l="1"/>
  <c r="M13" i="1"/>
  <c r="A2" i="28"/>
  <c r="A2" i="22"/>
  <c r="B17" i="2"/>
  <c r="B16" i="2"/>
  <c r="I5" i="25" l="1"/>
  <c r="B51" i="2"/>
  <c r="D213" i="2" s="1"/>
  <c r="B19" i="2"/>
  <c r="BP6" i="19"/>
  <c r="BQ6" i="19"/>
  <c r="BU6" i="19"/>
  <c r="BV6" i="19"/>
  <c r="BW6" i="19"/>
  <c r="CA6" i="19"/>
  <c r="CB6" i="19"/>
  <c r="CC6" i="19"/>
  <c r="BP7" i="19"/>
  <c r="BQ7" i="19"/>
  <c r="BU7" i="19"/>
  <c r="BV7" i="19"/>
  <c r="BW7" i="19"/>
  <c r="CA7" i="19"/>
  <c r="CB7" i="19"/>
  <c r="CC7" i="19"/>
  <c r="BP8" i="19"/>
  <c r="BQ8" i="19"/>
  <c r="BU8" i="19"/>
  <c r="BV8" i="19"/>
  <c r="BW8" i="19"/>
  <c r="CA8" i="19"/>
  <c r="CB8" i="19"/>
  <c r="CC8" i="19"/>
  <c r="BP9" i="19"/>
  <c r="BQ9" i="19"/>
  <c r="BU9" i="19"/>
  <c r="BV9" i="19"/>
  <c r="BW9" i="19"/>
  <c r="CA9" i="19"/>
  <c r="CB9" i="19"/>
  <c r="CC9" i="19"/>
  <c r="D24" i="2"/>
  <c r="A24" i="2"/>
  <c r="AL216" i="25"/>
  <c r="AL110" i="25"/>
  <c r="J105" i="25"/>
  <c r="J104" i="25"/>
  <c r="J103" i="25"/>
  <c r="J102" i="25"/>
  <c r="J101" i="25"/>
  <c r="J100" i="25"/>
  <c r="J99" i="25"/>
  <c r="J98" i="25"/>
  <c r="J97" i="25"/>
  <c r="J96" i="25"/>
  <c r="J95" i="25"/>
  <c r="J94" i="25"/>
  <c r="J93" i="25"/>
  <c r="J92" i="25"/>
  <c r="J91" i="25"/>
  <c r="J90" i="25"/>
  <c r="J89" i="25"/>
  <c r="J88" i="25"/>
  <c r="J87" i="25"/>
  <c r="J86" i="25"/>
  <c r="J85" i="25"/>
  <c r="J84" i="25"/>
  <c r="J83" i="25"/>
  <c r="J82" i="25"/>
  <c r="J81" i="25"/>
  <c r="J80" i="25"/>
  <c r="J79" i="25"/>
  <c r="J78" i="25"/>
  <c r="J77" i="25"/>
  <c r="J76" i="25"/>
  <c r="J75" i="25"/>
  <c r="J74" i="25"/>
  <c r="J73" i="25"/>
  <c r="J72" i="25"/>
  <c r="J71" i="25"/>
  <c r="J70" i="25"/>
  <c r="J69" i="25"/>
  <c r="J68" i="25"/>
  <c r="J67" i="25"/>
  <c r="J66" i="25"/>
  <c r="J65" i="25"/>
  <c r="J64" i="25"/>
  <c r="J63" i="25"/>
  <c r="J62" i="25"/>
  <c r="J61" i="25"/>
  <c r="J60" i="25"/>
  <c r="J59" i="25"/>
  <c r="J58" i="25"/>
  <c r="J57" i="25"/>
  <c r="J56" i="25"/>
  <c r="J55" i="25"/>
  <c r="J54" i="25"/>
  <c r="J53" i="25"/>
  <c r="J52" i="25"/>
  <c r="J51" i="25"/>
  <c r="J50" i="25"/>
  <c r="J49" i="25"/>
  <c r="J48" i="25"/>
  <c r="J47" i="25"/>
  <c r="J46" i="25"/>
  <c r="J45" i="25"/>
  <c r="J44" i="25"/>
  <c r="J43" i="25"/>
  <c r="J42" i="25"/>
  <c r="J41" i="25"/>
  <c r="J40" i="25"/>
  <c r="J39" i="25"/>
  <c r="J38" i="25"/>
  <c r="J37" i="25"/>
  <c r="J36" i="25"/>
  <c r="J35" i="25"/>
  <c r="J34" i="25"/>
  <c r="J33" i="25"/>
  <c r="J32" i="25"/>
  <c r="J31" i="25"/>
  <c r="J30" i="25"/>
  <c r="J29" i="25"/>
  <c r="J28" i="25"/>
  <c r="J27" i="25"/>
  <c r="J26" i="25"/>
  <c r="J25" i="25"/>
  <c r="J24" i="25"/>
  <c r="J23" i="25"/>
  <c r="J22" i="25"/>
  <c r="J21" i="25"/>
  <c r="J20" i="25"/>
  <c r="J19" i="25"/>
  <c r="J18" i="25"/>
  <c r="J17" i="25"/>
  <c r="J16" i="25"/>
  <c r="J15" i="25"/>
  <c r="J14" i="25"/>
  <c r="J13" i="25"/>
  <c r="J12" i="25"/>
  <c r="J11" i="25"/>
  <c r="J10" i="25"/>
  <c r="J9" i="25"/>
  <c r="J8" i="25"/>
  <c r="J7" i="25"/>
  <c r="J6" i="25"/>
  <c r="AL5" i="25"/>
  <c r="J5" i="25"/>
  <c r="K12" i="1"/>
  <c r="V38" i="2"/>
  <c r="V36" i="2"/>
  <c r="K9" i="1"/>
  <c r="V28" i="2"/>
  <c r="V29" i="2"/>
  <c r="V35" i="2"/>
  <c r="V34" i="2"/>
  <c r="V33" i="2"/>
  <c r="V32" i="2"/>
  <c r="V31" i="2"/>
  <c r="V30" i="2"/>
  <c r="B265" i="2" l="1"/>
  <c r="R37" i="2"/>
  <c r="R36" i="2"/>
  <c r="R35" i="2"/>
  <c r="R33" i="2"/>
  <c r="R31" i="2"/>
  <c r="R30" i="2"/>
  <c r="R29" i="2"/>
  <c r="R28" i="2"/>
  <c r="B107" i="2" l="1"/>
  <c r="B105" i="2"/>
  <c r="C33" i="16" s="1"/>
  <c r="B77" i="2"/>
  <c r="B82" i="2" s="1"/>
  <c r="K23" i="1" l="1"/>
  <c r="K20" i="1"/>
  <c r="D10" i="1"/>
  <c r="D11" i="1"/>
  <c r="D35" i="1"/>
  <c r="D13" i="1"/>
  <c r="D12" i="1"/>
  <c r="D23" i="1"/>
  <c r="D20" i="1"/>
  <c r="D36" i="1"/>
  <c r="B165" i="2" l="1"/>
  <c r="I56" i="2" l="1"/>
  <c r="B263" i="2"/>
  <c r="F13" i="1"/>
  <c r="B12" i="2"/>
  <c r="BZ110" i="25" l="1"/>
  <c r="B248" i="2"/>
  <c r="G111" i="25"/>
  <c r="G115" i="25"/>
  <c r="G119" i="25"/>
  <c r="G123" i="25"/>
  <c r="G127" i="25"/>
  <c r="G131" i="25"/>
  <c r="G135" i="25"/>
  <c r="G139" i="25"/>
  <c r="G143" i="25"/>
  <c r="G147" i="25"/>
  <c r="G151" i="25"/>
  <c r="G155" i="25"/>
  <c r="G159" i="25"/>
  <c r="G163" i="25"/>
  <c r="G167" i="25"/>
  <c r="G171" i="25"/>
  <c r="G175" i="25"/>
  <c r="G179" i="25"/>
  <c r="G183" i="25"/>
  <c r="G187" i="25"/>
  <c r="G191" i="25"/>
  <c r="G195" i="25"/>
  <c r="G199" i="25"/>
  <c r="G203" i="25"/>
  <c r="G207" i="25"/>
  <c r="G216" i="25"/>
  <c r="G220" i="25"/>
  <c r="I220" i="25" s="1"/>
  <c r="G224" i="25"/>
  <c r="I224" i="25" s="1"/>
  <c r="G228" i="25"/>
  <c r="I228" i="25" s="1"/>
  <c r="G232" i="25"/>
  <c r="I232" i="25" s="1"/>
  <c r="G236" i="25"/>
  <c r="I236" i="25" s="1"/>
  <c r="G240" i="25"/>
  <c r="I240" i="25" s="1"/>
  <c r="G244" i="25"/>
  <c r="I244" i="25" s="1"/>
  <c r="G248" i="25"/>
  <c r="I248" i="25" s="1"/>
  <c r="G252" i="25"/>
  <c r="I252" i="25" s="1"/>
  <c r="G256" i="25"/>
  <c r="I256" i="25" s="1"/>
  <c r="G260" i="25"/>
  <c r="I260" i="25" s="1"/>
  <c r="G264" i="25"/>
  <c r="I264" i="25" s="1"/>
  <c r="G268" i="25"/>
  <c r="I268" i="25" s="1"/>
  <c r="G272" i="25"/>
  <c r="I272" i="25" s="1"/>
  <c r="G276" i="25"/>
  <c r="I276" i="25" s="1"/>
  <c r="G280" i="25"/>
  <c r="I280" i="25" s="1"/>
  <c r="G284" i="25"/>
  <c r="I284" i="25" s="1"/>
  <c r="G288" i="25"/>
  <c r="I288" i="25" s="1"/>
  <c r="G292" i="25"/>
  <c r="I292" i="25" s="1"/>
  <c r="G296" i="25"/>
  <c r="I296" i="25" s="1"/>
  <c r="G300" i="25"/>
  <c r="I300" i="25" s="1"/>
  <c r="G304" i="25"/>
  <c r="I304" i="25" s="1"/>
  <c r="G308" i="25"/>
  <c r="I308" i="25" s="1"/>
  <c r="G312" i="25"/>
  <c r="I312" i="25" s="1"/>
  <c r="G316" i="25"/>
  <c r="I316" i="25" s="1"/>
  <c r="G8" i="25"/>
  <c r="BL8" i="25" s="1"/>
  <c r="G12" i="25"/>
  <c r="BL12" i="25" s="1"/>
  <c r="G16" i="25"/>
  <c r="BL16" i="25" s="1"/>
  <c r="G20" i="25"/>
  <c r="BL20" i="25" s="1"/>
  <c r="G24" i="25"/>
  <c r="BL24" i="25" s="1"/>
  <c r="G28" i="25"/>
  <c r="BL28" i="25" s="1"/>
  <c r="G32" i="25"/>
  <c r="BL32" i="25" s="1"/>
  <c r="G36" i="25"/>
  <c r="BL36" i="25" s="1"/>
  <c r="G40" i="25"/>
  <c r="BL40" i="25" s="1"/>
  <c r="G44" i="25"/>
  <c r="BL44" i="25" s="1"/>
  <c r="G48" i="25"/>
  <c r="BL48" i="25" s="1"/>
  <c r="G52" i="25"/>
  <c r="BL52" i="25" s="1"/>
  <c r="G56" i="25"/>
  <c r="BL56" i="25" s="1"/>
  <c r="G60" i="25"/>
  <c r="BL60" i="25" s="1"/>
  <c r="G64" i="25"/>
  <c r="BL64" i="25" s="1"/>
  <c r="G68" i="25"/>
  <c r="BL68" i="25" s="1"/>
  <c r="G72" i="25"/>
  <c r="BL72" i="25" s="1"/>
  <c r="G76" i="25"/>
  <c r="BL76" i="25" s="1"/>
  <c r="G80" i="25"/>
  <c r="BL80" i="25" s="1"/>
  <c r="G84" i="25"/>
  <c r="BL84" i="25" s="1"/>
  <c r="G88" i="25"/>
  <c r="BL88" i="25" s="1"/>
  <c r="G92" i="25"/>
  <c r="BL92" i="25" s="1"/>
  <c r="G96" i="25"/>
  <c r="BL96" i="25" s="1"/>
  <c r="G100" i="25"/>
  <c r="BL100" i="25" s="1"/>
  <c r="G104" i="25"/>
  <c r="BL104" i="25" s="1"/>
  <c r="G118" i="25"/>
  <c r="G150" i="25"/>
  <c r="G162" i="25"/>
  <c r="G174" i="25"/>
  <c r="G112" i="25"/>
  <c r="G116" i="25"/>
  <c r="G120" i="25"/>
  <c r="G124" i="25"/>
  <c r="G128" i="25"/>
  <c r="G132" i="25"/>
  <c r="G136" i="25"/>
  <c r="G140" i="25"/>
  <c r="G144" i="25"/>
  <c r="G148" i="25"/>
  <c r="G152" i="25"/>
  <c r="G156" i="25"/>
  <c r="G160" i="25"/>
  <c r="G164" i="25"/>
  <c r="G168" i="25"/>
  <c r="G172" i="25"/>
  <c r="G176" i="25"/>
  <c r="G180" i="25"/>
  <c r="G184" i="25"/>
  <c r="G188" i="25"/>
  <c r="G192" i="25"/>
  <c r="G196" i="25"/>
  <c r="G200" i="25"/>
  <c r="G204" i="25"/>
  <c r="G208" i="25"/>
  <c r="G217" i="25"/>
  <c r="I217" i="25" s="1"/>
  <c r="G221" i="25"/>
  <c r="I221" i="25" s="1"/>
  <c r="G225" i="25"/>
  <c r="I225" i="25" s="1"/>
  <c r="G229" i="25"/>
  <c r="I229" i="25" s="1"/>
  <c r="G233" i="25"/>
  <c r="I233" i="25" s="1"/>
  <c r="G237" i="25"/>
  <c r="I237" i="25" s="1"/>
  <c r="G241" i="25"/>
  <c r="I241" i="25" s="1"/>
  <c r="G245" i="25"/>
  <c r="I245" i="25" s="1"/>
  <c r="G249" i="25"/>
  <c r="I249" i="25" s="1"/>
  <c r="G253" i="25"/>
  <c r="I253" i="25" s="1"/>
  <c r="G257" i="25"/>
  <c r="I257" i="25" s="1"/>
  <c r="G261" i="25"/>
  <c r="I261" i="25" s="1"/>
  <c r="G265" i="25"/>
  <c r="I265" i="25" s="1"/>
  <c r="G269" i="25"/>
  <c r="I269" i="25" s="1"/>
  <c r="G273" i="25"/>
  <c r="I273" i="25" s="1"/>
  <c r="G277" i="25"/>
  <c r="I277" i="25" s="1"/>
  <c r="G281" i="25"/>
  <c r="I281" i="25" s="1"/>
  <c r="G285" i="25"/>
  <c r="I285" i="25" s="1"/>
  <c r="G289" i="25"/>
  <c r="I289" i="25" s="1"/>
  <c r="G293" i="25"/>
  <c r="I293" i="25" s="1"/>
  <c r="G297" i="25"/>
  <c r="I297" i="25" s="1"/>
  <c r="G301" i="25"/>
  <c r="I301" i="25" s="1"/>
  <c r="G305" i="25"/>
  <c r="I305" i="25" s="1"/>
  <c r="G309" i="25"/>
  <c r="I309" i="25" s="1"/>
  <c r="G313" i="25"/>
  <c r="I313" i="25" s="1"/>
  <c r="G9" i="25"/>
  <c r="BL9" i="25" s="1"/>
  <c r="G13" i="25"/>
  <c r="BL13" i="25" s="1"/>
  <c r="G17" i="25"/>
  <c r="BL17" i="25" s="1"/>
  <c r="G21" i="25"/>
  <c r="BL21" i="25" s="1"/>
  <c r="G25" i="25"/>
  <c r="BL25" i="25" s="1"/>
  <c r="G29" i="25"/>
  <c r="BL29" i="25" s="1"/>
  <c r="G33" i="25"/>
  <c r="BL33" i="25" s="1"/>
  <c r="G37" i="25"/>
  <c r="BL37" i="25" s="1"/>
  <c r="G41" i="25"/>
  <c r="BL41" i="25" s="1"/>
  <c r="G45" i="25"/>
  <c r="BL45" i="25" s="1"/>
  <c r="G49" i="25"/>
  <c r="BL49" i="25" s="1"/>
  <c r="G53" i="25"/>
  <c r="BL53" i="25" s="1"/>
  <c r="G57" i="25"/>
  <c r="BL57" i="25" s="1"/>
  <c r="G61" i="25"/>
  <c r="BL61" i="25" s="1"/>
  <c r="G65" i="25"/>
  <c r="BL65" i="25" s="1"/>
  <c r="G69" i="25"/>
  <c r="BL69" i="25" s="1"/>
  <c r="G73" i="25"/>
  <c r="BL73" i="25" s="1"/>
  <c r="G77" i="25"/>
  <c r="BL77" i="25" s="1"/>
  <c r="G81" i="25"/>
  <c r="BL81" i="25" s="1"/>
  <c r="G85" i="25"/>
  <c r="BL85" i="25" s="1"/>
  <c r="G89" i="25"/>
  <c r="BL89" i="25" s="1"/>
  <c r="G93" i="25"/>
  <c r="BL93" i="25" s="1"/>
  <c r="G97" i="25"/>
  <c r="BL97" i="25" s="1"/>
  <c r="G101" i="25"/>
  <c r="BL101" i="25" s="1"/>
  <c r="G105" i="25"/>
  <c r="BL105" i="25" s="1"/>
  <c r="G122" i="25"/>
  <c r="G154" i="25"/>
  <c r="G170" i="25"/>
  <c r="G113" i="25"/>
  <c r="G117" i="25"/>
  <c r="G121" i="25"/>
  <c r="G125" i="25"/>
  <c r="G129" i="25"/>
  <c r="G133" i="25"/>
  <c r="G137" i="25"/>
  <c r="G141" i="25"/>
  <c r="G145" i="25"/>
  <c r="G149" i="25"/>
  <c r="G153" i="25"/>
  <c r="G157" i="25"/>
  <c r="G161" i="25"/>
  <c r="G165" i="25"/>
  <c r="G169" i="25"/>
  <c r="G173" i="25"/>
  <c r="G177" i="25"/>
  <c r="G181" i="25"/>
  <c r="G185" i="25"/>
  <c r="G189" i="25"/>
  <c r="G193" i="25"/>
  <c r="G197" i="25"/>
  <c r="G201" i="25"/>
  <c r="G205" i="25"/>
  <c r="G209" i="25"/>
  <c r="G218" i="25"/>
  <c r="I218" i="25" s="1"/>
  <c r="G222" i="25"/>
  <c r="I222" i="25" s="1"/>
  <c r="G226" i="25"/>
  <c r="I226" i="25" s="1"/>
  <c r="G230" i="25"/>
  <c r="I230" i="25" s="1"/>
  <c r="G234" i="25"/>
  <c r="I234" i="25" s="1"/>
  <c r="G238" i="25"/>
  <c r="I238" i="25" s="1"/>
  <c r="G242" i="25"/>
  <c r="I242" i="25" s="1"/>
  <c r="G246" i="25"/>
  <c r="I246" i="25" s="1"/>
  <c r="G250" i="25"/>
  <c r="I250" i="25" s="1"/>
  <c r="G254" i="25"/>
  <c r="I254" i="25" s="1"/>
  <c r="G258" i="25"/>
  <c r="I258" i="25" s="1"/>
  <c r="G262" i="25"/>
  <c r="I262" i="25" s="1"/>
  <c r="G266" i="25"/>
  <c r="I266" i="25" s="1"/>
  <c r="G270" i="25"/>
  <c r="I270" i="25" s="1"/>
  <c r="G274" i="25"/>
  <c r="I274" i="25" s="1"/>
  <c r="G278" i="25"/>
  <c r="I278" i="25" s="1"/>
  <c r="G282" i="25"/>
  <c r="I282" i="25" s="1"/>
  <c r="G286" i="25"/>
  <c r="I286" i="25" s="1"/>
  <c r="G290" i="25"/>
  <c r="I290" i="25" s="1"/>
  <c r="G294" i="25"/>
  <c r="I294" i="25" s="1"/>
  <c r="G298" i="25"/>
  <c r="I298" i="25" s="1"/>
  <c r="G302" i="25"/>
  <c r="I302" i="25" s="1"/>
  <c r="G306" i="25"/>
  <c r="I306" i="25" s="1"/>
  <c r="G310" i="25"/>
  <c r="I310" i="25" s="1"/>
  <c r="G314" i="25"/>
  <c r="I314" i="25" s="1"/>
  <c r="G10" i="25"/>
  <c r="BL10" i="25" s="1"/>
  <c r="G14" i="25"/>
  <c r="BL14" i="25" s="1"/>
  <c r="G18" i="25"/>
  <c r="BL18" i="25" s="1"/>
  <c r="G22" i="25"/>
  <c r="BL22" i="25" s="1"/>
  <c r="G26" i="25"/>
  <c r="BL26" i="25" s="1"/>
  <c r="G30" i="25"/>
  <c r="BL30" i="25" s="1"/>
  <c r="G34" i="25"/>
  <c r="BL34" i="25" s="1"/>
  <c r="G38" i="25"/>
  <c r="BL38" i="25" s="1"/>
  <c r="G42" i="25"/>
  <c r="BL42" i="25" s="1"/>
  <c r="G46" i="25"/>
  <c r="BL46" i="25" s="1"/>
  <c r="G50" i="25"/>
  <c r="BL50" i="25" s="1"/>
  <c r="G54" i="25"/>
  <c r="BL54" i="25" s="1"/>
  <c r="G58" i="25"/>
  <c r="BL58" i="25" s="1"/>
  <c r="G62" i="25"/>
  <c r="BL62" i="25" s="1"/>
  <c r="G66" i="25"/>
  <c r="BL66" i="25" s="1"/>
  <c r="G70" i="25"/>
  <c r="BL70" i="25" s="1"/>
  <c r="G74" i="25"/>
  <c r="BL74" i="25" s="1"/>
  <c r="G78" i="25"/>
  <c r="BL78" i="25" s="1"/>
  <c r="G82" i="25"/>
  <c r="BL82" i="25" s="1"/>
  <c r="G86" i="25"/>
  <c r="BL86" i="25" s="1"/>
  <c r="G90" i="25"/>
  <c r="BL90" i="25" s="1"/>
  <c r="G94" i="25"/>
  <c r="BL94" i="25" s="1"/>
  <c r="G98" i="25"/>
  <c r="BL98" i="25" s="1"/>
  <c r="G102" i="25"/>
  <c r="BL102" i="25" s="1"/>
  <c r="G7" i="25"/>
  <c r="BL7" i="25" s="1"/>
  <c r="G110" i="25"/>
  <c r="G114" i="25"/>
  <c r="G126" i="25"/>
  <c r="G130" i="25"/>
  <c r="G134" i="25"/>
  <c r="G138" i="25"/>
  <c r="G142" i="25"/>
  <c r="G146" i="25"/>
  <c r="G158" i="25"/>
  <c r="G166" i="25"/>
  <c r="G182" i="25"/>
  <c r="G198" i="25"/>
  <c r="G219" i="25"/>
  <c r="I219" i="25" s="1"/>
  <c r="G235" i="25"/>
  <c r="I235" i="25" s="1"/>
  <c r="G251" i="25"/>
  <c r="I251" i="25" s="1"/>
  <c r="G267" i="25"/>
  <c r="I267" i="25" s="1"/>
  <c r="G283" i="25"/>
  <c r="I283" i="25" s="1"/>
  <c r="G299" i="25"/>
  <c r="I299" i="25" s="1"/>
  <c r="G315" i="25"/>
  <c r="I315" i="25" s="1"/>
  <c r="G11" i="25"/>
  <c r="BL11" i="25" s="1"/>
  <c r="G27" i="25"/>
  <c r="BL27" i="25" s="1"/>
  <c r="G43" i="25"/>
  <c r="BL43" i="25" s="1"/>
  <c r="G59" i="25"/>
  <c r="BL59" i="25" s="1"/>
  <c r="G75" i="25"/>
  <c r="BL75" i="25" s="1"/>
  <c r="G91" i="25"/>
  <c r="BL91" i="25" s="1"/>
  <c r="G6" i="25"/>
  <c r="BL6" i="25" s="1"/>
  <c r="G186" i="25"/>
  <c r="G255" i="25"/>
  <c r="I255" i="25" s="1"/>
  <c r="G303" i="25"/>
  <c r="I303" i="25" s="1"/>
  <c r="G47" i="25"/>
  <c r="BL47" i="25" s="1"/>
  <c r="G95" i="25"/>
  <c r="BL95" i="25" s="1"/>
  <c r="G190" i="25"/>
  <c r="G206" i="25"/>
  <c r="G227" i="25"/>
  <c r="I227" i="25" s="1"/>
  <c r="G243" i="25"/>
  <c r="I243" i="25" s="1"/>
  <c r="G259" i="25"/>
  <c r="I259" i="25" s="1"/>
  <c r="G275" i="25"/>
  <c r="I275" i="25" s="1"/>
  <c r="G291" i="25"/>
  <c r="I291" i="25" s="1"/>
  <c r="G307" i="25"/>
  <c r="I307" i="25" s="1"/>
  <c r="G19" i="25"/>
  <c r="BL19" i="25" s="1"/>
  <c r="G35" i="25"/>
  <c r="BL35" i="25" s="1"/>
  <c r="G51" i="25"/>
  <c r="BL51" i="25" s="1"/>
  <c r="G67" i="25"/>
  <c r="BL67" i="25" s="1"/>
  <c r="G83" i="25"/>
  <c r="BL83" i="25" s="1"/>
  <c r="G99" i="25"/>
  <c r="BL99" i="25" s="1"/>
  <c r="G87" i="25"/>
  <c r="BL87" i="25" s="1"/>
  <c r="G223" i="25"/>
  <c r="I223" i="25" s="1"/>
  <c r="G239" i="25"/>
  <c r="I239" i="25" s="1"/>
  <c r="G287" i="25"/>
  <c r="I287" i="25" s="1"/>
  <c r="G15" i="25"/>
  <c r="BL15" i="25" s="1"/>
  <c r="G63" i="25"/>
  <c r="BL63" i="25" s="1"/>
  <c r="G178" i="25"/>
  <c r="G194" i="25"/>
  <c r="G210" i="25"/>
  <c r="G231" i="25"/>
  <c r="I231" i="25" s="1"/>
  <c r="G247" i="25"/>
  <c r="I247" i="25" s="1"/>
  <c r="G263" i="25"/>
  <c r="I263" i="25" s="1"/>
  <c r="G279" i="25"/>
  <c r="I279" i="25" s="1"/>
  <c r="G295" i="25"/>
  <c r="I295" i="25" s="1"/>
  <c r="G311" i="25"/>
  <c r="I311" i="25" s="1"/>
  <c r="G23" i="25"/>
  <c r="BL23" i="25" s="1"/>
  <c r="G39" i="25"/>
  <c r="BL39" i="25" s="1"/>
  <c r="G55" i="25"/>
  <c r="BL55" i="25" s="1"/>
  <c r="G71" i="25"/>
  <c r="BL71" i="25" s="1"/>
  <c r="G103" i="25"/>
  <c r="BL103" i="25" s="1"/>
  <c r="G202" i="25"/>
  <c r="G271" i="25"/>
  <c r="I271" i="25" s="1"/>
  <c r="G31" i="25"/>
  <c r="BL31" i="25" s="1"/>
  <c r="G79" i="25"/>
  <c r="BL79" i="25" s="1"/>
  <c r="F7" i="25"/>
  <c r="F6" i="25"/>
  <c r="A53" i="19"/>
  <c r="I158" i="25" l="1"/>
  <c r="BL158" i="25"/>
  <c r="BL110" i="25"/>
  <c r="BO110" i="25" s="1"/>
  <c r="I189" i="25"/>
  <c r="BL189" i="25"/>
  <c r="I157" i="25"/>
  <c r="BL157" i="25"/>
  <c r="I125" i="25"/>
  <c r="BL125" i="25"/>
  <c r="I170" i="25"/>
  <c r="BL170" i="25"/>
  <c r="I180" i="25"/>
  <c r="BL180" i="25"/>
  <c r="I148" i="25"/>
  <c r="BL148" i="25"/>
  <c r="I116" i="25"/>
  <c r="BL116" i="25"/>
  <c r="I150" i="25"/>
  <c r="BL150" i="25"/>
  <c r="I195" i="25"/>
  <c r="BL195" i="25"/>
  <c r="I163" i="25"/>
  <c r="BL163" i="25"/>
  <c r="I131" i="25"/>
  <c r="BL131" i="25"/>
  <c r="I190" i="25"/>
  <c r="BL190" i="25"/>
  <c r="I198" i="25"/>
  <c r="BL198" i="25"/>
  <c r="I146" i="25"/>
  <c r="BL146" i="25"/>
  <c r="I130" i="25"/>
  <c r="BL130" i="25"/>
  <c r="I201" i="25"/>
  <c r="BL201" i="25"/>
  <c r="I169" i="25"/>
  <c r="BL169" i="25"/>
  <c r="I137" i="25"/>
  <c r="BL137" i="25"/>
  <c r="I154" i="25"/>
  <c r="BL154" i="25"/>
  <c r="I192" i="25"/>
  <c r="BL192" i="25"/>
  <c r="I160" i="25"/>
  <c r="BL160" i="25"/>
  <c r="I128" i="25"/>
  <c r="BL128" i="25"/>
  <c r="I207" i="25"/>
  <c r="BL207" i="25"/>
  <c r="I175" i="25"/>
  <c r="BL175" i="25"/>
  <c r="I143" i="25"/>
  <c r="BL143" i="25"/>
  <c r="I111" i="25"/>
  <c r="BL111" i="25"/>
  <c r="I202" i="25"/>
  <c r="BL202" i="25"/>
  <c r="I210" i="25"/>
  <c r="BL210" i="25"/>
  <c r="I166" i="25"/>
  <c r="BL166" i="25"/>
  <c r="I138" i="25"/>
  <c r="BL138" i="25"/>
  <c r="I114" i="25"/>
  <c r="BL114" i="25"/>
  <c r="I209" i="25"/>
  <c r="BL209" i="25"/>
  <c r="I193" i="25"/>
  <c r="BL193" i="25"/>
  <c r="I177" i="25"/>
  <c r="BL177" i="25"/>
  <c r="I161" i="25"/>
  <c r="BL161" i="25"/>
  <c r="I145" i="25"/>
  <c r="BL145" i="25"/>
  <c r="I129" i="25"/>
  <c r="BL129" i="25"/>
  <c r="I113" i="25"/>
  <c r="BL113" i="25"/>
  <c r="I200" i="25"/>
  <c r="BL200" i="25"/>
  <c r="I184" i="25"/>
  <c r="BL184" i="25"/>
  <c r="I168" i="25"/>
  <c r="BL168" i="25"/>
  <c r="I152" i="25"/>
  <c r="BL152" i="25"/>
  <c r="I136" i="25"/>
  <c r="BL136" i="25"/>
  <c r="I120" i="25"/>
  <c r="BL120" i="25"/>
  <c r="I162" i="25"/>
  <c r="BL162" i="25"/>
  <c r="I199" i="25"/>
  <c r="BL199" i="25"/>
  <c r="I183" i="25"/>
  <c r="BL183" i="25"/>
  <c r="I167" i="25"/>
  <c r="BL167" i="25"/>
  <c r="I151" i="25"/>
  <c r="BL151" i="25"/>
  <c r="I135" i="25"/>
  <c r="BL135" i="25"/>
  <c r="I119" i="25"/>
  <c r="BL119" i="25"/>
  <c r="I194" i="25"/>
  <c r="BL194" i="25"/>
  <c r="I206" i="25"/>
  <c r="BL206" i="25"/>
  <c r="I134" i="25"/>
  <c r="BL134" i="25"/>
  <c r="I205" i="25"/>
  <c r="BL205" i="25"/>
  <c r="I173" i="25"/>
  <c r="BL173" i="25"/>
  <c r="I141" i="25"/>
  <c r="BL141" i="25"/>
  <c r="I196" i="25"/>
  <c r="BL196" i="25"/>
  <c r="I164" i="25"/>
  <c r="BL164" i="25"/>
  <c r="I132" i="25"/>
  <c r="BL132" i="25"/>
  <c r="I179" i="25"/>
  <c r="BL179" i="25"/>
  <c r="I147" i="25"/>
  <c r="BL147" i="25"/>
  <c r="I115" i="25"/>
  <c r="BL115" i="25"/>
  <c r="I178" i="25"/>
  <c r="BL178" i="25"/>
  <c r="I185" i="25"/>
  <c r="BL185" i="25"/>
  <c r="I153" i="25"/>
  <c r="BL153" i="25"/>
  <c r="I121" i="25"/>
  <c r="BL121" i="25"/>
  <c r="I208" i="25"/>
  <c r="BL208" i="25"/>
  <c r="I176" i="25"/>
  <c r="BL176" i="25"/>
  <c r="I144" i="25"/>
  <c r="BL144" i="25"/>
  <c r="I112" i="25"/>
  <c r="BL112" i="25"/>
  <c r="I118" i="25"/>
  <c r="BL118" i="25"/>
  <c r="I191" i="25"/>
  <c r="BL191" i="25"/>
  <c r="I159" i="25"/>
  <c r="BL159" i="25"/>
  <c r="I127" i="25"/>
  <c r="BL127" i="25"/>
  <c r="I186" i="25"/>
  <c r="BL186" i="25"/>
  <c r="I182" i="25"/>
  <c r="BL182" i="25"/>
  <c r="I142" i="25"/>
  <c r="BL142" i="25"/>
  <c r="I126" i="25"/>
  <c r="BL126" i="25"/>
  <c r="I197" i="25"/>
  <c r="BL197" i="25"/>
  <c r="I181" i="25"/>
  <c r="BL181" i="25"/>
  <c r="I165" i="25"/>
  <c r="BL165" i="25"/>
  <c r="I149" i="25"/>
  <c r="BL149" i="25"/>
  <c r="I133" i="25"/>
  <c r="BL133" i="25"/>
  <c r="I117" i="25"/>
  <c r="BL117" i="25"/>
  <c r="I122" i="25"/>
  <c r="BL122" i="25"/>
  <c r="I204" i="25"/>
  <c r="BL204" i="25"/>
  <c r="I188" i="25"/>
  <c r="BL188" i="25"/>
  <c r="I172" i="25"/>
  <c r="BL172" i="25"/>
  <c r="I156" i="25"/>
  <c r="BL156" i="25"/>
  <c r="I140" i="25"/>
  <c r="BL140" i="25"/>
  <c r="I124" i="25"/>
  <c r="BL124" i="25"/>
  <c r="I174" i="25"/>
  <c r="BL174" i="25"/>
  <c r="I203" i="25"/>
  <c r="BL203" i="25"/>
  <c r="I187" i="25"/>
  <c r="BL187" i="25"/>
  <c r="I171" i="25"/>
  <c r="BL171" i="25"/>
  <c r="I155" i="25"/>
  <c r="BL155" i="25"/>
  <c r="I139" i="25"/>
  <c r="BL139" i="25"/>
  <c r="I123" i="25"/>
  <c r="BL123" i="25"/>
  <c r="BZ6" i="25"/>
  <c r="BK6" i="25"/>
  <c r="BZ7" i="25"/>
  <c r="BK7" i="25"/>
  <c r="I6" i="25"/>
  <c r="I7" i="25"/>
  <c r="I67" i="25"/>
  <c r="I86" i="25"/>
  <c r="I54" i="25"/>
  <c r="I22" i="25"/>
  <c r="I93" i="25"/>
  <c r="I61" i="25"/>
  <c r="I29" i="25"/>
  <c r="I104" i="25"/>
  <c r="I88" i="25"/>
  <c r="I72" i="25"/>
  <c r="I56" i="25"/>
  <c r="I40" i="25"/>
  <c r="I24" i="25"/>
  <c r="I8" i="25"/>
  <c r="I39" i="25"/>
  <c r="I15" i="25"/>
  <c r="I87" i="25"/>
  <c r="I51" i="25"/>
  <c r="I47" i="25"/>
  <c r="I43" i="25"/>
  <c r="I98" i="25"/>
  <c r="I82" i="25"/>
  <c r="I66" i="25"/>
  <c r="I50" i="25"/>
  <c r="I34" i="25"/>
  <c r="I18" i="25"/>
  <c r="I105" i="25"/>
  <c r="I89" i="25"/>
  <c r="I73" i="25"/>
  <c r="I57" i="25"/>
  <c r="I41" i="25"/>
  <c r="I25" i="25"/>
  <c r="I9" i="25"/>
  <c r="I100" i="25"/>
  <c r="I84" i="25"/>
  <c r="I68" i="25"/>
  <c r="I52" i="25"/>
  <c r="I36" i="25"/>
  <c r="I20" i="25"/>
  <c r="I59" i="25"/>
  <c r="I102" i="25"/>
  <c r="I38" i="25"/>
  <c r="I77" i="25"/>
  <c r="I13" i="25"/>
  <c r="I79" i="25"/>
  <c r="I23" i="25"/>
  <c r="I99" i="25"/>
  <c r="I91" i="25"/>
  <c r="I27" i="25"/>
  <c r="I94" i="25"/>
  <c r="I78" i="25"/>
  <c r="I62" i="25"/>
  <c r="I46" i="25"/>
  <c r="I30" i="25"/>
  <c r="I14" i="25"/>
  <c r="I101" i="25"/>
  <c r="I85" i="25"/>
  <c r="I69" i="25"/>
  <c r="I53" i="25"/>
  <c r="I37" i="25"/>
  <c r="I21" i="25"/>
  <c r="I96" i="25"/>
  <c r="I80" i="25"/>
  <c r="I64" i="25"/>
  <c r="I48" i="25"/>
  <c r="I32" i="25"/>
  <c r="I16" i="25"/>
  <c r="I55" i="25"/>
  <c r="I63" i="25"/>
  <c r="I95" i="25"/>
  <c r="I70" i="25"/>
  <c r="I45" i="25"/>
  <c r="I103" i="25"/>
  <c r="I35" i="25"/>
  <c r="I31" i="25"/>
  <c r="I71" i="25"/>
  <c r="I83" i="25"/>
  <c r="I19" i="25"/>
  <c r="I75" i="25"/>
  <c r="I11" i="25"/>
  <c r="I90" i="25"/>
  <c r="I74" i="25"/>
  <c r="I58" i="25"/>
  <c r="I42" i="25"/>
  <c r="I26" i="25"/>
  <c r="I10" i="25"/>
  <c r="I97" i="25"/>
  <c r="I81" i="25"/>
  <c r="I65" i="25"/>
  <c r="I49" i="25"/>
  <c r="I33" i="25"/>
  <c r="I17" i="25"/>
  <c r="I92" i="25"/>
  <c r="I76" i="25"/>
  <c r="I60" i="25"/>
  <c r="I44" i="25"/>
  <c r="I28" i="25"/>
  <c r="I12" i="25"/>
  <c r="I110" i="25"/>
  <c r="I216" i="25"/>
  <c r="B212" i="2"/>
  <c r="A210" i="2"/>
  <c r="B52" i="2"/>
  <c r="D209" i="2" l="1"/>
  <c r="A209" i="2"/>
  <c r="D208" i="2" l="1"/>
  <c r="D264" i="2"/>
  <c r="F12" i="1"/>
  <c r="C227" i="2"/>
  <c r="C236" i="2"/>
  <c r="D236" i="2"/>
  <c r="B46" i="19"/>
  <c r="B31" i="2" l="1"/>
  <c r="B20" i="2"/>
  <c r="B21" i="2"/>
  <c r="B24" i="2"/>
  <c r="C213" i="2"/>
  <c r="C52" i="2"/>
  <c r="B76" i="2"/>
  <c r="B81" i="2" s="1"/>
  <c r="B103" i="2" l="1"/>
  <c r="B58" i="2"/>
  <c r="C58" i="2"/>
  <c r="B264" i="2"/>
  <c r="C212" i="2"/>
  <c r="F212" i="2"/>
  <c r="D212" i="2"/>
  <c r="B209" i="2"/>
  <c r="B210" i="2"/>
  <c r="B124" i="2"/>
  <c r="B120" i="2"/>
  <c r="B220" i="2" s="1"/>
  <c r="B97" i="2"/>
  <c r="B95" i="2"/>
  <c r="D32" i="1"/>
  <c r="AM5" i="24"/>
  <c r="AM216" i="24"/>
  <c r="AM110" i="24"/>
  <c r="B215" i="2" l="1"/>
  <c r="B216" i="2"/>
  <c r="C32" i="16"/>
  <c r="B218" i="2"/>
  <c r="C31" i="16"/>
  <c r="I6" i="24"/>
  <c r="I7" i="24"/>
  <c r="I8" i="24"/>
  <c r="I9" i="24"/>
  <c r="I10" i="24"/>
  <c r="I11" i="24"/>
  <c r="I12" i="24"/>
  <c r="I13" i="24"/>
  <c r="I14" i="24"/>
  <c r="I15" i="24"/>
  <c r="I16" i="24"/>
  <c r="I17" i="24"/>
  <c r="I18" i="24"/>
  <c r="I19" i="24"/>
  <c r="I20" i="24"/>
  <c r="I21" i="24"/>
  <c r="I22" i="24"/>
  <c r="I23" i="24"/>
  <c r="I24" i="24"/>
  <c r="I25" i="24"/>
  <c r="I26" i="24"/>
  <c r="I27" i="24"/>
  <c r="I28" i="24"/>
  <c r="I29" i="24"/>
  <c r="I30" i="24"/>
  <c r="I31" i="24"/>
  <c r="I32" i="24"/>
  <c r="I33" i="24"/>
  <c r="I34" i="24"/>
  <c r="I35" i="24"/>
  <c r="I36" i="24"/>
  <c r="I37" i="24"/>
  <c r="I38" i="24"/>
  <c r="I39" i="24"/>
  <c r="I40" i="24"/>
  <c r="I41" i="24"/>
  <c r="I42" i="24"/>
  <c r="I43" i="24"/>
  <c r="I44" i="24"/>
  <c r="I45" i="24"/>
  <c r="I46" i="24"/>
  <c r="I47" i="24"/>
  <c r="I48" i="24"/>
  <c r="I49" i="24"/>
  <c r="I50" i="24"/>
  <c r="I51" i="24"/>
  <c r="I52" i="24"/>
  <c r="I53" i="24"/>
  <c r="I54" i="24"/>
  <c r="I55" i="24"/>
  <c r="I56" i="24"/>
  <c r="I57" i="24"/>
  <c r="I58" i="24"/>
  <c r="I59" i="24"/>
  <c r="I60" i="24"/>
  <c r="I61" i="24"/>
  <c r="I62" i="24"/>
  <c r="I63" i="24"/>
  <c r="I64" i="24"/>
  <c r="I65" i="24"/>
  <c r="I66" i="24"/>
  <c r="I67" i="24"/>
  <c r="I68" i="24"/>
  <c r="I69" i="24"/>
  <c r="I70" i="24"/>
  <c r="I71" i="24"/>
  <c r="I72" i="24"/>
  <c r="I73" i="24"/>
  <c r="I74" i="24"/>
  <c r="I75" i="24"/>
  <c r="I76" i="24"/>
  <c r="I77" i="24"/>
  <c r="I78" i="24"/>
  <c r="I79" i="24"/>
  <c r="I80" i="24"/>
  <c r="I81" i="24"/>
  <c r="I82" i="24"/>
  <c r="I83" i="24"/>
  <c r="I84" i="24"/>
  <c r="I85" i="24"/>
  <c r="I86" i="24"/>
  <c r="I87" i="24"/>
  <c r="I88" i="24"/>
  <c r="I89" i="24"/>
  <c r="I90" i="24"/>
  <c r="I91" i="24"/>
  <c r="I92" i="24"/>
  <c r="I93" i="24"/>
  <c r="I94" i="24"/>
  <c r="I95" i="24"/>
  <c r="I96" i="24"/>
  <c r="I97" i="24"/>
  <c r="I98" i="24"/>
  <c r="I99" i="24"/>
  <c r="I100" i="24"/>
  <c r="I101" i="24"/>
  <c r="I102" i="24"/>
  <c r="I103" i="24"/>
  <c r="I104" i="24"/>
  <c r="I105" i="24"/>
  <c r="I5" i="24"/>
  <c r="D21" i="19"/>
  <c r="D36" i="19"/>
  <c r="F12" i="19"/>
  <c r="D37" i="19"/>
  <c r="D35" i="19"/>
  <c r="B41" i="2"/>
  <c r="C41" i="16" s="1"/>
  <c r="D41" i="16" s="1"/>
  <c r="B33" i="19"/>
  <c r="F56" i="2"/>
  <c r="F50" i="2"/>
  <c r="D29" i="1"/>
  <c r="G237" i="2"/>
  <c r="C232" i="2"/>
  <c r="C233" i="2"/>
  <c r="A241" i="2"/>
  <c r="G51" i="2"/>
  <c r="A199" i="2"/>
  <c r="C245" i="2"/>
  <c r="U2" i="24" l="1"/>
  <c r="B162" i="2"/>
  <c r="B166" i="2" s="1"/>
  <c r="I9" i="8" s="1"/>
  <c r="I10" i="8"/>
  <c r="B147" i="2"/>
  <c r="B144" i="2"/>
  <c r="B56" i="2" l="1"/>
  <c r="C189" i="2"/>
  <c r="K44" i="2"/>
  <c r="K34" i="16" l="1"/>
  <c r="J34" i="16"/>
  <c r="K43" i="16"/>
  <c r="K42" i="16"/>
  <c r="J43" i="16"/>
  <c r="J42" i="16"/>
  <c r="I43" i="16" l="1"/>
  <c r="I42" i="16"/>
  <c r="H43" i="16"/>
  <c r="H42" i="16"/>
  <c r="J40" i="16"/>
  <c r="K40" i="16"/>
  <c r="K32" i="16"/>
  <c r="J32" i="16"/>
  <c r="K31" i="16"/>
  <c r="J31" i="16" l="1"/>
  <c r="T61" i="2"/>
  <c r="R61" i="2"/>
  <c r="B11" i="2" l="1"/>
  <c r="B26" i="19"/>
  <c r="D26" i="19" s="1"/>
  <c r="B20" i="19"/>
  <c r="D20" i="19" s="1"/>
  <c r="B27" i="19"/>
  <c r="D27" i="19" s="1"/>
  <c r="B8" i="2"/>
  <c r="B115" i="2" s="1"/>
  <c r="B75" i="2"/>
  <c r="B80" i="2" s="1"/>
  <c r="B73" i="2"/>
  <c r="B123" i="2"/>
  <c r="BP106" i="19"/>
  <c r="D44" i="19"/>
  <c r="A34" i="16"/>
  <c r="A43" i="16"/>
  <c r="A42" i="16"/>
  <c r="C246" i="2"/>
  <c r="B261" i="2"/>
  <c r="B236" i="2"/>
  <c r="B232" i="2"/>
  <c r="J50" i="2"/>
  <c r="C229" i="2"/>
  <c r="B229" i="2"/>
  <c r="B32" i="19"/>
  <c r="D32" i="19" s="1"/>
  <c r="B31" i="19"/>
  <c r="D31" i="19" s="1"/>
  <c r="B30" i="19"/>
  <c r="D30" i="19" s="1"/>
  <c r="B8" i="19"/>
  <c r="D8" i="19" s="1"/>
  <c r="F91" i="19"/>
  <c r="F90" i="19"/>
  <c r="F89" i="19"/>
  <c r="D51" i="19"/>
  <c r="D50" i="19"/>
  <c r="D49" i="19"/>
  <c r="D48" i="19"/>
  <c r="D46" i="19"/>
  <c r="D43" i="19"/>
  <c r="D42" i="19"/>
  <c r="D40" i="19"/>
  <c r="D38" i="19"/>
  <c r="D33" i="19"/>
  <c r="D29" i="19"/>
  <c r="D23" i="19"/>
  <c r="D22" i="19"/>
  <c r="D13" i="19"/>
  <c r="B181" i="2" s="1"/>
  <c r="D12" i="19"/>
  <c r="A31" i="16"/>
  <c r="B214" i="2"/>
  <c r="A213" i="2"/>
  <c r="B9" i="2"/>
  <c r="I6" i="8"/>
  <c r="J6" i="8" s="1"/>
  <c r="D40" i="16"/>
  <c r="C45" i="16"/>
  <c r="B146" i="2"/>
  <c r="B149" i="2" s="1"/>
  <c r="B141" i="2"/>
  <c r="B199" i="2"/>
  <c r="B213" i="2"/>
  <c r="B7" i="2"/>
  <c r="B132" i="2"/>
  <c r="B134" i="2" s="1"/>
  <c r="B176" i="2"/>
  <c r="A34" i="8"/>
  <c r="A35" i="8"/>
  <c r="A36" i="8"/>
  <c r="A37" i="8"/>
  <c r="A38" i="8"/>
  <c r="A39" i="8"/>
  <c r="A40" i="8"/>
  <c r="A41" i="8"/>
  <c r="A42" i="8"/>
  <c r="A43" i="8"/>
  <c r="A44" i="8"/>
  <c r="A45" i="8"/>
  <c r="A46" i="8"/>
  <c r="A47" i="8"/>
  <c r="A48" i="8"/>
  <c r="A49" i="8"/>
  <c r="A50" i="8"/>
  <c r="A51" i="8"/>
  <c r="A52" i="8"/>
  <c r="A53" i="8"/>
  <c r="A54" i="8"/>
  <c r="A55" i="8"/>
  <c r="A56" i="8"/>
  <c r="A57" i="8"/>
  <c r="A58" i="8"/>
  <c r="A59" i="8"/>
  <c r="A60" i="8"/>
  <c r="A61" i="8"/>
  <c r="A62" i="8"/>
  <c r="A63" i="8"/>
  <c r="A64" i="8"/>
  <c r="A65" i="8"/>
  <c r="A66" i="8"/>
  <c r="A67" i="8"/>
  <c r="A68" i="8"/>
  <c r="A69" i="8"/>
  <c r="A70" i="8"/>
  <c r="A71" i="8"/>
  <c r="A72" i="8"/>
  <c r="A73" i="8"/>
  <c r="A74" i="8"/>
  <c r="A75" i="8"/>
  <c r="A76" i="8"/>
  <c r="A77" i="8"/>
  <c r="A78" i="8"/>
  <c r="A79" i="8"/>
  <c r="A80" i="8"/>
  <c r="A81" i="8"/>
  <c r="A82" i="8"/>
  <c r="A83" i="8"/>
  <c r="A84" i="8"/>
  <c r="A85" i="8"/>
  <c r="A86" i="8"/>
  <c r="A87" i="8"/>
  <c r="A88" i="8"/>
  <c r="A89" i="8"/>
  <c r="A90" i="8"/>
  <c r="A91" i="8"/>
  <c r="A92" i="8"/>
  <c r="A93" i="8"/>
  <c r="A94" i="8"/>
  <c r="A95" i="8"/>
  <c r="A96" i="8"/>
  <c r="A97" i="8"/>
  <c r="A98" i="8"/>
  <c r="A99" i="8"/>
  <c r="A100" i="8"/>
  <c r="A101" i="8"/>
  <c r="A102" i="8"/>
  <c r="A103" i="8"/>
  <c r="A104" i="8"/>
  <c r="A105" i="8"/>
  <c r="A106" i="8"/>
  <c r="A107" i="8"/>
  <c r="A108" i="8"/>
  <c r="A109" i="8"/>
  <c r="A110" i="8"/>
  <c r="A111" i="8"/>
  <c r="A112" i="8"/>
  <c r="A113" i="8"/>
  <c r="A114" i="8"/>
  <c r="A115" i="8"/>
  <c r="A116" i="8"/>
  <c r="A117" i="8"/>
  <c r="A118" i="8"/>
  <c r="A119" i="8"/>
  <c r="A120" i="8"/>
  <c r="A121" i="8"/>
  <c r="A122" i="8"/>
  <c r="A123" i="8"/>
  <c r="A124" i="8"/>
  <c r="A125" i="8"/>
  <c r="A126" i="8"/>
  <c r="A127" i="8"/>
  <c r="A128" i="8"/>
  <c r="A129" i="8"/>
  <c r="A130" i="8"/>
  <c r="A131" i="8"/>
  <c r="A132" i="8"/>
  <c r="A133" i="8"/>
  <c r="A134" i="8"/>
  <c r="A135" i="8"/>
  <c r="A136" i="8"/>
  <c r="A137" i="8"/>
  <c r="A138" i="8"/>
  <c r="A139" i="8"/>
  <c r="A140" i="8"/>
  <c r="A141" i="8"/>
  <c r="A142" i="8"/>
  <c r="A143" i="8"/>
  <c r="A144" i="8"/>
  <c r="A145" i="8"/>
  <c r="A146" i="8"/>
  <c r="A147" i="8"/>
  <c r="A148" i="8"/>
  <c r="A149" i="8"/>
  <c r="A150" i="8"/>
  <c r="A151" i="8"/>
  <c r="A152" i="8"/>
  <c r="A153" i="8"/>
  <c r="A154" i="8"/>
  <c r="A155" i="8"/>
  <c r="A156" i="8"/>
  <c r="A157" i="8"/>
  <c r="A158" i="8"/>
  <c r="A159" i="8"/>
  <c r="E3" i="8"/>
  <c r="A208" i="2"/>
  <c r="B208" i="2"/>
  <c r="I14" i="8"/>
  <c r="B186" i="2"/>
  <c r="I13" i="8"/>
  <c r="J13" i="8" s="1"/>
  <c r="I7" i="8"/>
  <c r="J7" i="8" s="1"/>
  <c r="J14" i="8"/>
  <c r="B84" i="2" l="1"/>
  <c r="L6" i="1" s="1"/>
  <c r="G11" i="2"/>
  <c r="B61" i="2"/>
  <c r="L14" i="1" s="1"/>
  <c r="M2" i="24"/>
  <c r="S5" i="24"/>
  <c r="T5" i="24" s="1"/>
  <c r="D39" i="16"/>
  <c r="K12" i="2"/>
  <c r="K11" i="2"/>
  <c r="BI9" i="25"/>
  <c r="BI69" i="25"/>
  <c r="BI15" i="25"/>
  <c r="BI31" i="25"/>
  <c r="BI47" i="25"/>
  <c r="BI63" i="25"/>
  <c r="BI79" i="25"/>
  <c r="BI29" i="25"/>
  <c r="BI65" i="25"/>
  <c r="BI8" i="25"/>
  <c r="BI24" i="25"/>
  <c r="BI40" i="25"/>
  <c r="BI56" i="25"/>
  <c r="BI72" i="25"/>
  <c r="BI88" i="25"/>
  <c r="BI49" i="25"/>
  <c r="BI6" i="25"/>
  <c r="BI22" i="25"/>
  <c r="BI38" i="25"/>
  <c r="BI54" i="25"/>
  <c r="BI70" i="25"/>
  <c r="BI86" i="25"/>
  <c r="BI102" i="25"/>
  <c r="BI104" i="25"/>
  <c r="BI97" i="25"/>
  <c r="BI105" i="25"/>
  <c r="BI42" i="25"/>
  <c r="BI74" i="25"/>
  <c r="BI92" i="25"/>
  <c r="BI99" i="25"/>
  <c r="BI27" i="25"/>
  <c r="BI75" i="25"/>
  <c r="BI5" i="25"/>
  <c r="BI68" i="25"/>
  <c r="BI85" i="25"/>
  <c r="BI34" i="25"/>
  <c r="BI82" i="25"/>
  <c r="BI95" i="25"/>
  <c r="BI21" i="25"/>
  <c r="BI81" i="25"/>
  <c r="BI19" i="25"/>
  <c r="BI35" i="25"/>
  <c r="BI51" i="25"/>
  <c r="BI67" i="25"/>
  <c r="BI83" i="25"/>
  <c r="BI33" i="25"/>
  <c r="BI77" i="25"/>
  <c r="BI12" i="25"/>
  <c r="BI28" i="25"/>
  <c r="BI44" i="25"/>
  <c r="BI60" i="25"/>
  <c r="BI76" i="25"/>
  <c r="BI13" i="25"/>
  <c r="BI61" i="25"/>
  <c r="BI10" i="25"/>
  <c r="BI26" i="25"/>
  <c r="BI58" i="25"/>
  <c r="BI90" i="25"/>
  <c r="BI91" i="25"/>
  <c r="BI11" i="25"/>
  <c r="BI17" i="25"/>
  <c r="BI36" i="25"/>
  <c r="BI37" i="25"/>
  <c r="BI50" i="25"/>
  <c r="BI96" i="25"/>
  <c r="BI41" i="25"/>
  <c r="BI7" i="25"/>
  <c r="BI23" i="25"/>
  <c r="BI39" i="25"/>
  <c r="BI55" i="25"/>
  <c r="BI71" i="25"/>
  <c r="BI87" i="25"/>
  <c r="BI45" i="25"/>
  <c r="BI89" i="25"/>
  <c r="BI16" i="25"/>
  <c r="BI32" i="25"/>
  <c r="BI48" i="25"/>
  <c r="BI64" i="25"/>
  <c r="BI80" i="25"/>
  <c r="BI25" i="25"/>
  <c r="BI73" i="25"/>
  <c r="BI14" i="25"/>
  <c r="BI30" i="25"/>
  <c r="BI46" i="25"/>
  <c r="BI62" i="25"/>
  <c r="BI78" i="25"/>
  <c r="BI98" i="25"/>
  <c r="BI100" i="25"/>
  <c r="BI93" i="25"/>
  <c r="BI101" i="25"/>
  <c r="BI53" i="25"/>
  <c r="BI43" i="25"/>
  <c r="BI59" i="25"/>
  <c r="BI57" i="25"/>
  <c r="BI20" i="25"/>
  <c r="BI52" i="25"/>
  <c r="BI84" i="25"/>
  <c r="BI18" i="25"/>
  <c r="BI66" i="25"/>
  <c r="BI94" i="25"/>
  <c r="BI103" i="25"/>
  <c r="BP5" i="24"/>
  <c r="B28" i="2"/>
  <c r="C39" i="16"/>
  <c r="R42" i="2"/>
  <c r="J210" i="25"/>
  <c r="J206" i="25"/>
  <c r="J202" i="25"/>
  <c r="J198" i="25"/>
  <c r="J194" i="25"/>
  <c r="J190" i="25"/>
  <c r="J186" i="25"/>
  <c r="J182" i="25"/>
  <c r="J178" i="25"/>
  <c r="J174" i="25"/>
  <c r="J170" i="25"/>
  <c r="J166" i="25"/>
  <c r="J162" i="25"/>
  <c r="J158" i="25"/>
  <c r="J154" i="25"/>
  <c r="J150" i="25"/>
  <c r="J146" i="25"/>
  <c r="J142" i="25"/>
  <c r="J138" i="25"/>
  <c r="J134" i="25"/>
  <c r="J130" i="25"/>
  <c r="J126" i="25"/>
  <c r="J122" i="25"/>
  <c r="J118" i="25"/>
  <c r="J114" i="25"/>
  <c r="J207" i="25"/>
  <c r="J179" i="25"/>
  <c r="J167" i="25"/>
  <c r="J155" i="25"/>
  <c r="J147" i="25"/>
  <c r="J135" i="25"/>
  <c r="J119" i="25"/>
  <c r="J111" i="25"/>
  <c r="J209" i="25"/>
  <c r="J205" i="25"/>
  <c r="J201" i="25"/>
  <c r="J197" i="25"/>
  <c r="J193" i="25"/>
  <c r="J189" i="25"/>
  <c r="J185" i="25"/>
  <c r="J181" i="25"/>
  <c r="J177" i="25"/>
  <c r="J173" i="25"/>
  <c r="J169" i="25"/>
  <c r="J165" i="25"/>
  <c r="J161" i="25"/>
  <c r="J157" i="25"/>
  <c r="J153" i="25"/>
  <c r="J149" i="25"/>
  <c r="J145" i="25"/>
  <c r="J141" i="25"/>
  <c r="J137" i="25"/>
  <c r="J133" i="25"/>
  <c r="J129" i="25"/>
  <c r="J125" i="25"/>
  <c r="J121" i="25"/>
  <c r="J117" i="25"/>
  <c r="J113" i="25"/>
  <c r="J110" i="25"/>
  <c r="BI110" i="25" s="1"/>
  <c r="J203" i="25"/>
  <c r="J195" i="25"/>
  <c r="J191" i="25"/>
  <c r="J187" i="25"/>
  <c r="J175" i="25"/>
  <c r="J159" i="25"/>
  <c r="J139" i="25"/>
  <c r="J127" i="25"/>
  <c r="J208" i="25"/>
  <c r="J204" i="25"/>
  <c r="J200" i="25"/>
  <c r="J196" i="25"/>
  <c r="J192" i="25"/>
  <c r="J188" i="25"/>
  <c r="J184" i="25"/>
  <c r="J180" i="25"/>
  <c r="J176" i="25"/>
  <c r="J172" i="25"/>
  <c r="J168" i="25"/>
  <c r="J164" i="25"/>
  <c r="J160" i="25"/>
  <c r="J156" i="25"/>
  <c r="J152" i="25"/>
  <c r="J148" i="25"/>
  <c r="J144" i="25"/>
  <c r="J140" i="25"/>
  <c r="J136" i="25"/>
  <c r="J132" i="25"/>
  <c r="J128" i="25"/>
  <c r="J124" i="25"/>
  <c r="J120" i="25"/>
  <c r="J116" i="25"/>
  <c r="J112" i="25"/>
  <c r="J199" i="25"/>
  <c r="J183" i="25"/>
  <c r="J171" i="25"/>
  <c r="J163" i="25"/>
  <c r="J151" i="25"/>
  <c r="J143" i="25"/>
  <c r="J131" i="25"/>
  <c r="J123" i="25"/>
  <c r="J115" i="25"/>
  <c r="B14" i="2"/>
  <c r="H110" i="25"/>
  <c r="AH110" i="25" s="1"/>
  <c r="H5" i="25"/>
  <c r="AH5" i="25" s="1"/>
  <c r="H216" i="25"/>
  <c r="AH216" i="25" s="1"/>
  <c r="L105" i="25"/>
  <c r="L101" i="25"/>
  <c r="L97" i="25"/>
  <c r="L93" i="25"/>
  <c r="N104" i="25"/>
  <c r="N96" i="25"/>
  <c r="N93" i="25"/>
  <c r="N83" i="25"/>
  <c r="N75" i="25"/>
  <c r="N67" i="25"/>
  <c r="N59" i="25"/>
  <c r="N51" i="25"/>
  <c r="N43" i="25"/>
  <c r="L37" i="25"/>
  <c r="N31" i="25"/>
  <c r="N23" i="25"/>
  <c r="N15" i="25"/>
  <c r="L84" i="25"/>
  <c r="L64" i="25"/>
  <c r="L48" i="25"/>
  <c r="L28" i="25"/>
  <c r="L12" i="25"/>
  <c r="L8" i="25"/>
  <c r="N99" i="25"/>
  <c r="N86" i="25"/>
  <c r="N78" i="25"/>
  <c r="N70" i="25"/>
  <c r="N50" i="25"/>
  <c r="N38" i="25"/>
  <c r="N34" i="25"/>
  <c r="N18" i="25"/>
  <c r="N95" i="25"/>
  <c r="L83" i="25"/>
  <c r="L75" i="25"/>
  <c r="L67" i="25"/>
  <c r="L104" i="25"/>
  <c r="L100" i="25"/>
  <c r="L96" i="25"/>
  <c r="L92" i="25"/>
  <c r="N102" i="25"/>
  <c r="N94" i="25"/>
  <c r="L90" i="25"/>
  <c r="L82" i="25"/>
  <c r="L74" i="25"/>
  <c r="L66" i="25"/>
  <c r="L58" i="25"/>
  <c r="L50" i="25"/>
  <c r="L42" i="25"/>
  <c r="L36" i="25"/>
  <c r="L30" i="25"/>
  <c r="L22" i="25"/>
  <c r="L14" i="25"/>
  <c r="N81" i="25"/>
  <c r="L60" i="25"/>
  <c r="N45" i="25"/>
  <c r="N21" i="25"/>
  <c r="L11" i="25"/>
  <c r="L7" i="25"/>
  <c r="N91" i="25"/>
  <c r="L102" i="25"/>
  <c r="L98" i="25"/>
  <c r="L94" i="25"/>
  <c r="N98" i="25"/>
  <c r="N101" i="25"/>
  <c r="L86" i="25"/>
  <c r="L78" i="25"/>
  <c r="L70" i="25"/>
  <c r="L62" i="25"/>
  <c r="L54" i="25"/>
  <c r="L46" i="25"/>
  <c r="L38" i="25"/>
  <c r="L34" i="25"/>
  <c r="L26" i="25"/>
  <c r="L18" i="25"/>
  <c r="N89" i="25"/>
  <c r="N69" i="25"/>
  <c r="L52" i="25"/>
  <c r="N41" i="25"/>
  <c r="N13" i="25"/>
  <c r="L9" i="25"/>
  <c r="L5" i="25"/>
  <c r="L89" i="25"/>
  <c r="L99" i="25"/>
  <c r="N71" i="25"/>
  <c r="N39" i="25"/>
  <c r="N97" i="25"/>
  <c r="L16" i="25"/>
  <c r="L85" i="25"/>
  <c r="N74" i="25"/>
  <c r="L53" i="25"/>
  <c r="N37" i="25"/>
  <c r="N26" i="25"/>
  <c r="L87" i="25"/>
  <c r="N76" i="25"/>
  <c r="N64" i="25"/>
  <c r="N56" i="25"/>
  <c r="N48" i="25"/>
  <c r="N40" i="25"/>
  <c r="N28" i="25"/>
  <c r="N20" i="25"/>
  <c r="N12" i="25"/>
  <c r="N8" i="25"/>
  <c r="N105" i="25"/>
  <c r="N77" i="25"/>
  <c r="N65" i="25"/>
  <c r="N49" i="25"/>
  <c r="N29" i="25"/>
  <c r="N17" i="25"/>
  <c r="L61" i="25"/>
  <c r="L41" i="25"/>
  <c r="L21" i="25"/>
  <c r="N11" i="25"/>
  <c r="L88" i="25"/>
  <c r="N61" i="25"/>
  <c r="N25" i="25"/>
  <c r="N66" i="25"/>
  <c r="L57" i="25"/>
  <c r="L17" i="25"/>
  <c r="L91" i="25"/>
  <c r="N100" i="25"/>
  <c r="N27" i="25"/>
  <c r="N53" i="25"/>
  <c r="L81" i="25"/>
  <c r="N35" i="25"/>
  <c r="N14" i="25"/>
  <c r="N80" i="25"/>
  <c r="N60" i="25"/>
  <c r="N44" i="25"/>
  <c r="N24" i="25"/>
  <c r="N10" i="25"/>
  <c r="N85" i="25"/>
  <c r="N33" i="25"/>
  <c r="L65" i="25"/>
  <c r="L29" i="25"/>
  <c r="L95" i="25"/>
  <c r="N63" i="25"/>
  <c r="L35" i="25"/>
  <c r="L72" i="25"/>
  <c r="L10" i="25"/>
  <c r="N82" i="25"/>
  <c r="L73" i="25"/>
  <c r="N46" i="25"/>
  <c r="N36" i="25"/>
  <c r="N22" i="25"/>
  <c r="N84" i="25"/>
  <c r="N72" i="25"/>
  <c r="L63" i="25"/>
  <c r="L55" i="25"/>
  <c r="L47" i="25"/>
  <c r="L39" i="25"/>
  <c r="L27" i="25"/>
  <c r="L19" i="25"/>
  <c r="N7" i="25"/>
  <c r="T7" i="25" s="1"/>
  <c r="L76" i="25"/>
  <c r="L40" i="25"/>
  <c r="L33" i="25"/>
  <c r="N87" i="25"/>
  <c r="L6" i="25"/>
  <c r="L45" i="25"/>
  <c r="N103" i="25"/>
  <c r="N52" i="25"/>
  <c r="N16" i="25"/>
  <c r="N73" i="25"/>
  <c r="L24" i="25"/>
  <c r="L13" i="25"/>
  <c r="L103" i="25"/>
  <c r="N92" i="25"/>
  <c r="N79" i="25"/>
  <c r="N47" i="25"/>
  <c r="N19" i="25"/>
  <c r="L44" i="25"/>
  <c r="N90" i="25"/>
  <c r="L77" i="25"/>
  <c r="N58" i="25"/>
  <c r="N42" i="25"/>
  <c r="N30" i="25"/>
  <c r="N88" i="25"/>
  <c r="L79" i="25"/>
  <c r="N68" i="25"/>
  <c r="L59" i="25"/>
  <c r="L51" i="25"/>
  <c r="L43" i="25"/>
  <c r="L31" i="25"/>
  <c r="L23" i="25"/>
  <c r="L15" i="25"/>
  <c r="N9" i="25"/>
  <c r="N5" i="25"/>
  <c r="L80" i="25"/>
  <c r="L68" i="25"/>
  <c r="L56" i="25"/>
  <c r="L32" i="25"/>
  <c r="L20" i="25"/>
  <c r="N62" i="25"/>
  <c r="L49" i="25"/>
  <c r="L25" i="25"/>
  <c r="N55" i="25"/>
  <c r="L69" i="25"/>
  <c r="L71" i="25"/>
  <c r="N32" i="25"/>
  <c r="N6" i="25"/>
  <c r="T6" i="25" s="1"/>
  <c r="N57" i="25"/>
  <c r="N54" i="25"/>
  <c r="J313" i="25"/>
  <c r="J309" i="25"/>
  <c r="J305" i="25"/>
  <c r="J301" i="25"/>
  <c r="J297" i="25"/>
  <c r="J293" i="25"/>
  <c r="J289" i="25"/>
  <c r="J285" i="25"/>
  <c r="J281" i="25"/>
  <c r="J277" i="25"/>
  <c r="J273" i="25"/>
  <c r="J269" i="25"/>
  <c r="J265" i="25"/>
  <c r="J261" i="25"/>
  <c r="J257" i="25"/>
  <c r="J253" i="25"/>
  <c r="J249" i="25"/>
  <c r="J245" i="25"/>
  <c r="J241" i="25"/>
  <c r="J237" i="25"/>
  <c r="J233" i="25"/>
  <c r="J229" i="25"/>
  <c r="J225" i="25"/>
  <c r="J221" i="25"/>
  <c r="J217" i="25"/>
  <c r="J316" i="25"/>
  <c r="J312" i="25"/>
  <c r="J308" i="25"/>
  <c r="J304" i="25"/>
  <c r="J300" i="25"/>
  <c r="J296" i="25"/>
  <c r="J292" i="25"/>
  <c r="J288" i="25"/>
  <c r="J284" i="25"/>
  <c r="J280" i="25"/>
  <c r="J276" i="25"/>
  <c r="J272" i="25"/>
  <c r="J268" i="25"/>
  <c r="J264" i="25"/>
  <c r="J260" i="25"/>
  <c r="J256" i="25"/>
  <c r="J252" i="25"/>
  <c r="J248" i="25"/>
  <c r="J244" i="25"/>
  <c r="J240" i="25"/>
  <c r="J236" i="25"/>
  <c r="J232" i="25"/>
  <c r="J228" i="25"/>
  <c r="J224" i="25"/>
  <c r="J220" i="25"/>
  <c r="J315" i="25"/>
  <c r="J311" i="25"/>
  <c r="J307" i="25"/>
  <c r="J303" i="25"/>
  <c r="J299" i="25"/>
  <c r="J295" i="25"/>
  <c r="J291" i="25"/>
  <c r="J287" i="25"/>
  <c r="J283" i="25"/>
  <c r="J279" i="25"/>
  <c r="J275" i="25"/>
  <c r="J271" i="25"/>
  <c r="J267" i="25"/>
  <c r="J263" i="25"/>
  <c r="J259" i="25"/>
  <c r="J255" i="25"/>
  <c r="J251" i="25"/>
  <c r="J247" i="25"/>
  <c r="J243" i="25"/>
  <c r="J239" i="25"/>
  <c r="J235" i="25"/>
  <c r="J231" i="25"/>
  <c r="J227" i="25"/>
  <c r="J223" i="25"/>
  <c r="J219" i="25"/>
  <c r="J216" i="25"/>
  <c r="J314" i="25"/>
  <c r="J310" i="25"/>
  <c r="J306" i="25"/>
  <c r="J302" i="25"/>
  <c r="J298" i="25"/>
  <c r="J294" i="25"/>
  <c r="J290" i="25"/>
  <c r="J286" i="25"/>
  <c r="J282" i="25"/>
  <c r="J266" i="25"/>
  <c r="J250" i="25"/>
  <c r="J234" i="25"/>
  <c r="J218" i="25"/>
  <c r="J278" i="25"/>
  <c r="J262" i="25"/>
  <c r="J246" i="25"/>
  <c r="J230" i="25"/>
  <c r="J274" i="25"/>
  <c r="J258" i="25"/>
  <c r="J242" i="25"/>
  <c r="J226" i="25"/>
  <c r="J270" i="25"/>
  <c r="J254" i="25"/>
  <c r="J238" i="25"/>
  <c r="J222" i="25"/>
  <c r="B63" i="2"/>
  <c r="B62" i="2"/>
  <c r="B161" i="2"/>
  <c r="E26" i="1" s="1"/>
  <c r="BK105" i="24"/>
  <c r="BK65" i="24"/>
  <c r="BK25" i="24"/>
  <c r="BK100" i="24"/>
  <c r="BK84" i="24"/>
  <c r="BK68" i="24"/>
  <c r="BK52" i="24"/>
  <c r="BK36" i="24"/>
  <c r="BK20" i="24"/>
  <c r="BK97" i="24"/>
  <c r="BK37" i="24"/>
  <c r="BK95" i="24"/>
  <c r="BK79" i="24"/>
  <c r="BK63" i="24"/>
  <c r="BK47" i="24"/>
  <c r="BK31" i="24"/>
  <c r="BK15" i="24"/>
  <c r="BK89" i="24"/>
  <c r="BK45" i="24"/>
  <c r="BK98" i="24"/>
  <c r="BK82" i="24"/>
  <c r="BK66" i="24"/>
  <c r="BK50" i="24"/>
  <c r="BK34" i="24"/>
  <c r="BK18" i="24"/>
  <c r="BK78" i="24"/>
  <c r="BK46" i="24"/>
  <c r="BK30" i="24"/>
  <c r="BK83" i="24"/>
  <c r="BK19" i="24"/>
  <c r="BK102" i="24"/>
  <c r="BK70" i="24"/>
  <c r="BK22" i="24"/>
  <c r="BK93" i="24"/>
  <c r="BK49" i="24"/>
  <c r="BK13" i="24"/>
  <c r="BK96" i="24"/>
  <c r="BK80" i="24"/>
  <c r="BK64" i="24"/>
  <c r="BK48" i="24"/>
  <c r="BK32" i="24"/>
  <c r="BK16" i="24"/>
  <c r="BK81" i="24"/>
  <c r="BK21" i="24"/>
  <c r="BK91" i="24"/>
  <c r="BK75" i="24"/>
  <c r="BK59" i="24"/>
  <c r="BK43" i="24"/>
  <c r="BK27" i="24"/>
  <c r="BK11" i="24"/>
  <c r="BK77" i="24"/>
  <c r="BK33" i="24"/>
  <c r="BK94" i="24"/>
  <c r="BK62" i="24"/>
  <c r="BK14" i="24"/>
  <c r="BK51" i="24"/>
  <c r="BK53" i="24"/>
  <c r="BK54" i="24"/>
  <c r="BK85" i="24"/>
  <c r="BK41" i="24"/>
  <c r="BK9" i="24"/>
  <c r="BK92" i="24"/>
  <c r="BK76" i="24"/>
  <c r="BK60" i="24"/>
  <c r="BK44" i="24"/>
  <c r="BK28" i="24"/>
  <c r="BK12" i="24"/>
  <c r="BK69" i="24"/>
  <c r="BK103" i="24"/>
  <c r="BK87" i="24"/>
  <c r="BK71" i="24"/>
  <c r="BK55" i="24"/>
  <c r="BK39" i="24"/>
  <c r="BK23" i="24"/>
  <c r="BK7" i="24"/>
  <c r="BK61" i="24"/>
  <c r="BK17" i="24"/>
  <c r="BK90" i="24"/>
  <c r="BK74" i="24"/>
  <c r="BK58" i="24"/>
  <c r="BK42" i="24"/>
  <c r="BK26" i="24"/>
  <c r="BK10" i="24"/>
  <c r="BK73" i="24"/>
  <c r="BK29" i="24"/>
  <c r="BK104" i="24"/>
  <c r="BK88" i="24"/>
  <c r="BK72" i="24"/>
  <c r="BK56" i="24"/>
  <c r="BK40" i="24"/>
  <c r="BK24" i="24"/>
  <c r="BK8" i="24"/>
  <c r="BK57" i="24"/>
  <c r="BK99" i="24"/>
  <c r="BK67" i="24"/>
  <c r="BK35" i="24"/>
  <c r="BK101" i="24"/>
  <c r="BK86" i="24"/>
  <c r="BK38" i="24"/>
  <c r="BK6" i="24"/>
  <c r="B182" i="2"/>
  <c r="BK5" i="24"/>
  <c r="B178" i="2"/>
  <c r="B30" i="2"/>
  <c r="AW2" i="25" s="1"/>
  <c r="B125" i="2"/>
  <c r="I113" i="24"/>
  <c r="I117" i="24"/>
  <c r="I121" i="24"/>
  <c r="I125" i="24"/>
  <c r="I129" i="24"/>
  <c r="I133" i="24"/>
  <c r="I137" i="24"/>
  <c r="I141" i="24"/>
  <c r="I145" i="24"/>
  <c r="I149" i="24"/>
  <c r="I153" i="24"/>
  <c r="I157" i="24"/>
  <c r="I161" i="24"/>
  <c r="I165" i="24"/>
  <c r="I169" i="24"/>
  <c r="I173" i="24"/>
  <c r="I177" i="24"/>
  <c r="I181" i="24"/>
  <c r="I185" i="24"/>
  <c r="I189" i="24"/>
  <c r="I193" i="24"/>
  <c r="I197" i="24"/>
  <c r="I201" i="24"/>
  <c r="I205" i="24"/>
  <c r="I209" i="24"/>
  <c r="I114" i="24"/>
  <c r="I118" i="24"/>
  <c r="I122" i="24"/>
  <c r="I126" i="24"/>
  <c r="I130" i="24"/>
  <c r="I134" i="24"/>
  <c r="I138" i="24"/>
  <c r="I116" i="24"/>
  <c r="I124" i="24"/>
  <c r="I132" i="24"/>
  <c r="I140" i="24"/>
  <c r="I146" i="24"/>
  <c r="I151" i="24"/>
  <c r="I156" i="24"/>
  <c r="I162" i="24"/>
  <c r="I167" i="24"/>
  <c r="I172" i="24"/>
  <c r="I178" i="24"/>
  <c r="I183" i="24"/>
  <c r="I188" i="24"/>
  <c r="I194" i="24"/>
  <c r="I199" i="24"/>
  <c r="I204" i="24"/>
  <c r="I210" i="24"/>
  <c r="I111" i="24"/>
  <c r="I119" i="24"/>
  <c r="I127" i="24"/>
  <c r="I135" i="24"/>
  <c r="I142" i="24"/>
  <c r="I147" i="24"/>
  <c r="I152" i="24"/>
  <c r="I158" i="24"/>
  <c r="I163" i="24"/>
  <c r="I168" i="24"/>
  <c r="I174" i="24"/>
  <c r="I179" i="24"/>
  <c r="I184" i="24"/>
  <c r="I190" i="24"/>
  <c r="I195" i="24"/>
  <c r="I200" i="24"/>
  <c r="I206" i="24"/>
  <c r="I110" i="24"/>
  <c r="BK110" i="24" s="1"/>
  <c r="I112" i="24"/>
  <c r="I120" i="24"/>
  <c r="I128" i="24"/>
  <c r="I136" i="24"/>
  <c r="I143" i="24"/>
  <c r="I148" i="24"/>
  <c r="I154" i="24"/>
  <c r="I159" i="24"/>
  <c r="I164" i="24"/>
  <c r="I170" i="24"/>
  <c r="I175" i="24"/>
  <c r="I180" i="24"/>
  <c r="I186" i="24"/>
  <c r="I191" i="24"/>
  <c r="I196" i="24"/>
  <c r="I202" i="24"/>
  <c r="I207" i="24"/>
  <c r="I115" i="24"/>
  <c r="I123" i="24"/>
  <c r="I131" i="24"/>
  <c r="I139" i="24"/>
  <c r="I144" i="24"/>
  <c r="I150" i="24"/>
  <c r="I155" i="24"/>
  <c r="I160" i="24"/>
  <c r="I166" i="24"/>
  <c r="I171" i="24"/>
  <c r="I176" i="24"/>
  <c r="I182" i="24"/>
  <c r="I187" i="24"/>
  <c r="I192" i="24"/>
  <c r="I198" i="24"/>
  <c r="I203" i="24"/>
  <c r="I208" i="24"/>
  <c r="H216" i="24"/>
  <c r="H110" i="24"/>
  <c r="I217" i="24"/>
  <c r="I221" i="24"/>
  <c r="I225" i="24"/>
  <c r="I229" i="24"/>
  <c r="I233" i="24"/>
  <c r="I237" i="24"/>
  <c r="I241" i="24"/>
  <c r="I245" i="24"/>
  <c r="I249" i="24"/>
  <c r="I253" i="24"/>
  <c r="I257" i="24"/>
  <c r="I261" i="24"/>
  <c r="I265" i="24"/>
  <c r="I269" i="24"/>
  <c r="I273" i="24"/>
  <c r="I277" i="24"/>
  <c r="I281" i="24"/>
  <c r="I285" i="24"/>
  <c r="I289" i="24"/>
  <c r="I293" i="24"/>
  <c r="I297" i="24"/>
  <c r="I301" i="24"/>
  <c r="I305" i="24"/>
  <c r="I309" i="24"/>
  <c r="I313" i="24"/>
  <c r="I216" i="24"/>
  <c r="I219" i="24"/>
  <c r="I235" i="24"/>
  <c r="I243" i="24"/>
  <c r="I251" i="24"/>
  <c r="I259" i="24"/>
  <c r="I267" i="24"/>
  <c r="I275" i="24"/>
  <c r="I283" i="24"/>
  <c r="I291" i="24"/>
  <c r="I299" i="24"/>
  <c r="I303" i="24"/>
  <c r="I311" i="24"/>
  <c r="I224" i="24"/>
  <c r="I232" i="24"/>
  <c r="I240" i="24"/>
  <c r="I248" i="24"/>
  <c r="I256" i="24"/>
  <c r="I264" i="24"/>
  <c r="I272" i="24"/>
  <c r="I280" i="24"/>
  <c r="I288" i="24"/>
  <c r="I296" i="24"/>
  <c r="I300" i="24"/>
  <c r="I308" i="24"/>
  <c r="I218" i="24"/>
  <c r="I222" i="24"/>
  <c r="I226" i="24"/>
  <c r="I230" i="24"/>
  <c r="I234" i="24"/>
  <c r="I238" i="24"/>
  <c r="I242" i="24"/>
  <c r="I246" i="24"/>
  <c r="I250" i="24"/>
  <c r="I254" i="24"/>
  <c r="I258" i="24"/>
  <c r="I262" i="24"/>
  <c r="I266" i="24"/>
  <c r="I270" i="24"/>
  <c r="I274" i="24"/>
  <c r="I278" i="24"/>
  <c r="I282" i="24"/>
  <c r="I286" i="24"/>
  <c r="I290" i="24"/>
  <c r="I294" i="24"/>
  <c r="I298" i="24"/>
  <c r="I302" i="24"/>
  <c r="I306" i="24"/>
  <c r="I310" i="24"/>
  <c r="I314" i="24"/>
  <c r="I223" i="24"/>
  <c r="I227" i="24"/>
  <c r="I231" i="24"/>
  <c r="I239" i="24"/>
  <c r="I247" i="24"/>
  <c r="I255" i="24"/>
  <c r="I263" i="24"/>
  <c r="I271" i="24"/>
  <c r="I279" i="24"/>
  <c r="I287" i="24"/>
  <c r="I295" i="24"/>
  <c r="I307" i="24"/>
  <c r="I315" i="24"/>
  <c r="I220" i="24"/>
  <c r="I228" i="24"/>
  <c r="I236" i="24"/>
  <c r="I244" i="24"/>
  <c r="I252" i="24"/>
  <c r="I260" i="24"/>
  <c r="I268" i="24"/>
  <c r="I276" i="24"/>
  <c r="I284" i="24"/>
  <c r="I292" i="24"/>
  <c r="I304" i="24"/>
  <c r="I312" i="24"/>
  <c r="I316" i="24"/>
  <c r="E15" i="23"/>
  <c r="R15" i="23" s="1"/>
  <c r="E23" i="23"/>
  <c r="R23" i="23" s="1"/>
  <c r="E31" i="23"/>
  <c r="R31" i="23" s="1"/>
  <c r="E39" i="23"/>
  <c r="R39" i="23" s="1"/>
  <c r="E47" i="23"/>
  <c r="R47" i="23" s="1"/>
  <c r="E55" i="23"/>
  <c r="R55" i="23" s="1"/>
  <c r="E63" i="23"/>
  <c r="R63" i="23" s="1"/>
  <c r="E71" i="23"/>
  <c r="R71" i="23" s="1"/>
  <c r="E79" i="23"/>
  <c r="R79" i="23" s="1"/>
  <c r="E87" i="23"/>
  <c r="R87" i="23" s="1"/>
  <c r="E95" i="23"/>
  <c r="R95" i="23" s="1"/>
  <c r="E103" i="23"/>
  <c r="R103" i="23" s="1"/>
  <c r="E20" i="23"/>
  <c r="R20" i="23" s="1"/>
  <c r="E44" i="23"/>
  <c r="R44" i="23" s="1"/>
  <c r="E68" i="23"/>
  <c r="R68" i="23" s="1"/>
  <c r="E84" i="23"/>
  <c r="R84" i="23" s="1"/>
  <c r="E7" i="23"/>
  <c r="R7" i="23" s="1"/>
  <c r="E16" i="23"/>
  <c r="R16" i="23" s="1"/>
  <c r="E24" i="23"/>
  <c r="R24" i="23" s="1"/>
  <c r="E32" i="23"/>
  <c r="R32" i="23" s="1"/>
  <c r="E40" i="23"/>
  <c r="R40" i="23" s="1"/>
  <c r="E48" i="23"/>
  <c r="R48" i="23" s="1"/>
  <c r="E56" i="23"/>
  <c r="R56" i="23" s="1"/>
  <c r="E64" i="23"/>
  <c r="R64" i="23" s="1"/>
  <c r="E72" i="23"/>
  <c r="R72" i="23" s="1"/>
  <c r="E80" i="23"/>
  <c r="R80" i="23" s="1"/>
  <c r="E88" i="23"/>
  <c r="R88" i="23" s="1"/>
  <c r="E96" i="23"/>
  <c r="R96" i="23" s="1"/>
  <c r="E104" i="23"/>
  <c r="R104" i="23" s="1"/>
  <c r="E28" i="23"/>
  <c r="R28" i="23" s="1"/>
  <c r="E60" i="23"/>
  <c r="R60" i="23" s="1"/>
  <c r="E92" i="23"/>
  <c r="R92" i="23" s="1"/>
  <c r="E11" i="23"/>
  <c r="R11" i="23" s="1"/>
  <c r="E19" i="23"/>
  <c r="R19" i="23" s="1"/>
  <c r="E27" i="23"/>
  <c r="R27" i="23" s="1"/>
  <c r="E35" i="23"/>
  <c r="R35" i="23" s="1"/>
  <c r="E43" i="23"/>
  <c r="R43" i="23" s="1"/>
  <c r="E51" i="23"/>
  <c r="R51" i="23" s="1"/>
  <c r="E59" i="23"/>
  <c r="R59" i="23" s="1"/>
  <c r="E67" i="23"/>
  <c r="R67" i="23" s="1"/>
  <c r="E75" i="23"/>
  <c r="R75" i="23" s="1"/>
  <c r="E83" i="23"/>
  <c r="R83" i="23" s="1"/>
  <c r="E91" i="23"/>
  <c r="R91" i="23" s="1"/>
  <c r="E99" i="23"/>
  <c r="R99" i="23" s="1"/>
  <c r="E6" i="23"/>
  <c r="R6" i="23" s="1"/>
  <c r="E12" i="23"/>
  <c r="R12" i="23" s="1"/>
  <c r="E36" i="23"/>
  <c r="R36" i="23" s="1"/>
  <c r="E52" i="23"/>
  <c r="R52" i="23" s="1"/>
  <c r="E76" i="23"/>
  <c r="R76" i="23" s="1"/>
  <c r="E100" i="23"/>
  <c r="R100" i="23" s="1"/>
  <c r="K16" i="24"/>
  <c r="M58" i="24"/>
  <c r="N58" i="24" s="1"/>
  <c r="M42" i="24"/>
  <c r="N42" i="24" s="1"/>
  <c r="M26" i="24"/>
  <c r="N26" i="24" s="1"/>
  <c r="K10" i="24"/>
  <c r="K45" i="24"/>
  <c r="K29" i="24"/>
  <c r="M7" i="24"/>
  <c r="N7" i="24" s="1"/>
  <c r="M54" i="24"/>
  <c r="N54" i="24" s="1"/>
  <c r="M38" i="24"/>
  <c r="N38" i="24" s="1"/>
  <c r="K22" i="24"/>
  <c r="M6" i="24"/>
  <c r="N6" i="24" s="1"/>
  <c r="K57" i="24"/>
  <c r="K41" i="24"/>
  <c r="K25" i="24"/>
  <c r="K20" i="24"/>
  <c r="M34" i="24"/>
  <c r="N34" i="24" s="1"/>
  <c r="K12" i="24"/>
  <c r="K53" i="24"/>
  <c r="E94" i="23"/>
  <c r="R94" i="23" s="1"/>
  <c r="E78" i="23"/>
  <c r="R78" i="23" s="1"/>
  <c r="E62" i="23"/>
  <c r="R62" i="23" s="1"/>
  <c r="E46" i="23"/>
  <c r="R46" i="23" s="1"/>
  <c r="E30" i="23"/>
  <c r="R30" i="23" s="1"/>
  <c r="E14" i="23"/>
  <c r="R14" i="23" s="1"/>
  <c r="M103" i="24"/>
  <c r="N103" i="24" s="1"/>
  <c r="K98" i="24"/>
  <c r="M87" i="24"/>
  <c r="N87" i="24" s="1"/>
  <c r="K82" i="24"/>
  <c r="M96" i="24"/>
  <c r="N96" i="24" s="1"/>
  <c r="K91" i="24"/>
  <c r="K81" i="24"/>
  <c r="K101" i="24"/>
  <c r="K93" i="24"/>
  <c r="K85" i="24"/>
  <c r="M94" i="24"/>
  <c r="N94" i="24" s="1"/>
  <c r="M85" i="24"/>
  <c r="N85" i="24" s="1"/>
  <c r="K75" i="24"/>
  <c r="K70" i="24"/>
  <c r="M80" i="24"/>
  <c r="N80" i="24" s="1"/>
  <c r="K67" i="24"/>
  <c r="M89" i="24"/>
  <c r="N89" i="24" s="1"/>
  <c r="K69" i="24"/>
  <c r="K61" i="24"/>
  <c r="M55" i="24"/>
  <c r="N55" i="24" s="1"/>
  <c r="K50" i="24"/>
  <c r="M5" i="24"/>
  <c r="N5" i="24" s="1"/>
  <c r="Q5" i="24" s="1"/>
  <c r="M30" i="24"/>
  <c r="N30" i="24" s="1"/>
  <c r="K49" i="24"/>
  <c r="E106" i="23"/>
  <c r="R106" i="23" s="1"/>
  <c r="E90" i="23"/>
  <c r="R90" i="23" s="1"/>
  <c r="E74" i="23"/>
  <c r="R74" i="23" s="1"/>
  <c r="E58" i="23"/>
  <c r="R58" i="23" s="1"/>
  <c r="E42" i="23"/>
  <c r="R42" i="23" s="1"/>
  <c r="E26" i="23"/>
  <c r="R26" i="23" s="1"/>
  <c r="E9" i="23"/>
  <c r="R9" i="23" s="1"/>
  <c r="K102" i="24"/>
  <c r="M91" i="24"/>
  <c r="N91" i="24" s="1"/>
  <c r="K86" i="24"/>
  <c r="M100" i="24"/>
  <c r="N100" i="24" s="1"/>
  <c r="K95" i="24"/>
  <c r="M84" i="24"/>
  <c r="N84" i="24" s="1"/>
  <c r="M74" i="24"/>
  <c r="N74" i="24" s="1"/>
  <c r="K100" i="24"/>
  <c r="K92" i="24"/>
  <c r="K84" i="24"/>
  <c r="M75" i="24"/>
  <c r="N75" i="24" s="1"/>
  <c r="M102" i="24"/>
  <c r="N102" i="24" s="1"/>
  <c r="M93" i="24"/>
  <c r="N93" i="24" s="1"/>
  <c r="K80" i="24"/>
  <c r="M73" i="24"/>
  <c r="N73" i="24" s="1"/>
  <c r="M63" i="24"/>
  <c r="N63" i="24" s="1"/>
  <c r="M77" i="24"/>
  <c r="N77" i="24" s="1"/>
  <c r="K71" i="24"/>
  <c r="M105" i="24"/>
  <c r="N105" i="24" s="1"/>
  <c r="K68" i="24"/>
  <c r="M59" i="24"/>
  <c r="N59" i="24" s="1"/>
  <c r="K54" i="24"/>
  <c r="M50" i="24"/>
  <c r="N50" i="24" s="1"/>
  <c r="E102" i="23"/>
  <c r="R102" i="23" s="1"/>
  <c r="E70" i="23"/>
  <c r="R70" i="23" s="1"/>
  <c r="E38" i="23"/>
  <c r="R38" i="23" s="1"/>
  <c r="K8" i="24"/>
  <c r="M95" i="24"/>
  <c r="N95" i="24" s="1"/>
  <c r="K99" i="24"/>
  <c r="M88" i="24"/>
  <c r="N88" i="24" s="1"/>
  <c r="M78" i="24"/>
  <c r="N78" i="24" s="1"/>
  <c r="K97" i="24"/>
  <c r="M79" i="24"/>
  <c r="N79" i="24" s="1"/>
  <c r="M101" i="24"/>
  <c r="N101" i="24" s="1"/>
  <c r="K79" i="24"/>
  <c r="M67" i="24"/>
  <c r="N67" i="24" s="1"/>
  <c r="K58" i="24"/>
  <c r="M47" i="24"/>
  <c r="N47" i="24" s="1"/>
  <c r="M35" i="24"/>
  <c r="N35" i="24" s="1"/>
  <c r="K30" i="24"/>
  <c r="K72" i="24"/>
  <c r="M57" i="24"/>
  <c r="N57" i="24" s="1"/>
  <c r="K52" i="24"/>
  <c r="M41" i="24"/>
  <c r="N41" i="24" s="1"/>
  <c r="K36" i="24"/>
  <c r="M25" i="24"/>
  <c r="N25" i="24" s="1"/>
  <c r="K21" i="24"/>
  <c r="M10" i="24"/>
  <c r="N10" i="24" s="1"/>
  <c r="K23" i="24"/>
  <c r="M12" i="24"/>
  <c r="N12" i="24" s="1"/>
  <c r="K7" i="24"/>
  <c r="E101" i="23"/>
  <c r="R101" i="23" s="1"/>
  <c r="E85" i="23"/>
  <c r="R85" i="23" s="1"/>
  <c r="E69" i="23"/>
  <c r="R69" i="23" s="1"/>
  <c r="E53" i="23"/>
  <c r="R53" i="23" s="1"/>
  <c r="E37" i="23"/>
  <c r="R37" i="23" s="1"/>
  <c r="E21" i="23"/>
  <c r="R21" i="23" s="1"/>
  <c r="K5" i="24"/>
  <c r="M28" i="24"/>
  <c r="N28" i="24" s="1"/>
  <c r="M36" i="24"/>
  <c r="N36" i="24" s="1"/>
  <c r="M44" i="24"/>
  <c r="N44" i="24" s="1"/>
  <c r="M52" i="24"/>
  <c r="N52" i="24" s="1"/>
  <c r="M60" i="24"/>
  <c r="N60" i="24" s="1"/>
  <c r="K18" i="24"/>
  <c r="E86" i="23"/>
  <c r="R86" i="23" s="1"/>
  <c r="E22" i="23"/>
  <c r="R22" i="23" s="1"/>
  <c r="M104" i="24"/>
  <c r="N104" i="24" s="1"/>
  <c r="K83" i="24"/>
  <c r="K105" i="24"/>
  <c r="K74" i="24"/>
  <c r="M72" i="24"/>
  <c r="N72" i="24" s="1"/>
  <c r="M64" i="24"/>
  <c r="N64" i="24" s="1"/>
  <c r="K65" i="24"/>
  <c r="M43" i="24"/>
  <c r="N43" i="24" s="1"/>
  <c r="K60" i="24"/>
  <c r="M49" i="24"/>
  <c r="N49" i="24" s="1"/>
  <c r="K28" i="24"/>
  <c r="M62" i="24"/>
  <c r="N62" i="24" s="1"/>
  <c r="K13" i="24"/>
  <c r="M20" i="24"/>
  <c r="N20" i="24" s="1"/>
  <c r="E93" i="23"/>
  <c r="R93" i="23" s="1"/>
  <c r="E77" i="23"/>
  <c r="R77" i="23" s="1"/>
  <c r="E45" i="23"/>
  <c r="R45" i="23" s="1"/>
  <c r="E13" i="23"/>
  <c r="R13" i="23" s="1"/>
  <c r="M24" i="24"/>
  <c r="N24" i="24" s="1"/>
  <c r="M40" i="24"/>
  <c r="N40" i="24" s="1"/>
  <c r="M56" i="24"/>
  <c r="N56" i="24" s="1"/>
  <c r="K14" i="24"/>
  <c r="E82" i="23"/>
  <c r="R82" i="23" s="1"/>
  <c r="E50" i="23"/>
  <c r="R50" i="23" s="1"/>
  <c r="M92" i="24"/>
  <c r="N92" i="24" s="1"/>
  <c r="K104" i="24"/>
  <c r="M86" i="24"/>
  <c r="N86" i="24" s="1"/>
  <c r="K64" i="24"/>
  <c r="K42" i="24"/>
  <c r="K26" i="24"/>
  <c r="M53" i="24"/>
  <c r="N53" i="24" s="1"/>
  <c r="M37" i="24"/>
  <c r="N37" i="24" s="1"/>
  <c r="K17" i="24"/>
  <c r="M66" i="24"/>
  <c r="N66" i="24" s="1"/>
  <c r="M8" i="24"/>
  <c r="N8" i="24" s="1"/>
  <c r="E89" i="23"/>
  <c r="R89" i="23" s="1"/>
  <c r="E57" i="23"/>
  <c r="R57" i="23" s="1"/>
  <c r="E25" i="23"/>
  <c r="R25" i="23" s="1"/>
  <c r="M9" i="24"/>
  <c r="N9" i="24" s="1"/>
  <c r="M17" i="24"/>
  <c r="N17" i="24" s="1"/>
  <c r="K27" i="24"/>
  <c r="K43" i="24"/>
  <c r="M69" i="24"/>
  <c r="N69" i="24" s="1"/>
  <c r="M46" i="24"/>
  <c r="N46" i="24" s="1"/>
  <c r="E98" i="23"/>
  <c r="R98" i="23" s="1"/>
  <c r="E66" i="23"/>
  <c r="R66" i="23" s="1"/>
  <c r="E34" i="23"/>
  <c r="R34" i="23" s="1"/>
  <c r="K94" i="24"/>
  <c r="M83" i="24"/>
  <c r="N83" i="24" s="1"/>
  <c r="K87" i="24"/>
  <c r="K77" i="24"/>
  <c r="K96" i="24"/>
  <c r="K78" i="24"/>
  <c r="K76" i="24"/>
  <c r="K66" i="24"/>
  <c r="M81" i="24"/>
  <c r="N81" i="24" s="1"/>
  <c r="M68" i="24"/>
  <c r="N68" i="24" s="1"/>
  <c r="M98" i="24"/>
  <c r="N98" i="24" s="1"/>
  <c r="K73" i="24"/>
  <c r="K46" i="24"/>
  <c r="M39" i="24"/>
  <c r="N39" i="24" s="1"/>
  <c r="K34" i="24"/>
  <c r="M97" i="24"/>
  <c r="N97" i="24" s="1"/>
  <c r="K56" i="24"/>
  <c r="M45" i="24"/>
  <c r="N45" i="24" s="1"/>
  <c r="K40" i="24"/>
  <c r="M29" i="24"/>
  <c r="N29" i="24" s="1"/>
  <c r="K24" i="24"/>
  <c r="M70" i="24"/>
  <c r="N70" i="24" s="1"/>
  <c r="M14" i="24"/>
  <c r="N14" i="24" s="1"/>
  <c r="K9" i="24"/>
  <c r="M16" i="24"/>
  <c r="N16" i="24" s="1"/>
  <c r="K11" i="24"/>
  <c r="E97" i="23"/>
  <c r="R97" i="23" s="1"/>
  <c r="E81" i="23"/>
  <c r="R81" i="23" s="1"/>
  <c r="E65" i="23"/>
  <c r="R65" i="23" s="1"/>
  <c r="E49" i="23"/>
  <c r="R49" i="23" s="1"/>
  <c r="E33" i="23"/>
  <c r="R33" i="23" s="1"/>
  <c r="E17" i="23"/>
  <c r="R17" i="23" s="1"/>
  <c r="K6" i="24"/>
  <c r="M11" i="24"/>
  <c r="N11" i="24" s="1"/>
  <c r="M15" i="24"/>
  <c r="N15" i="24" s="1"/>
  <c r="M19" i="24"/>
  <c r="N19" i="24" s="1"/>
  <c r="M23" i="24"/>
  <c r="N23" i="24" s="1"/>
  <c r="K31" i="24"/>
  <c r="K39" i="24"/>
  <c r="K47" i="24"/>
  <c r="K55" i="24"/>
  <c r="M61" i="24"/>
  <c r="N61" i="24" s="1"/>
  <c r="K37" i="24"/>
  <c r="E54" i="23"/>
  <c r="R54" i="23" s="1"/>
  <c r="K90" i="24"/>
  <c r="K89" i="24"/>
  <c r="K62" i="24"/>
  <c r="M76" i="24"/>
  <c r="N76" i="24" s="1"/>
  <c r="M82" i="24"/>
  <c r="N82" i="24" s="1"/>
  <c r="K38" i="24"/>
  <c r="M27" i="24"/>
  <c r="N27" i="24" s="1"/>
  <c r="K44" i="24"/>
  <c r="M33" i="24"/>
  <c r="N33" i="24" s="1"/>
  <c r="M18" i="24"/>
  <c r="N18" i="24" s="1"/>
  <c r="K15" i="24"/>
  <c r="E10" i="23"/>
  <c r="R10" i="23" s="1"/>
  <c r="E61" i="23"/>
  <c r="R61" i="23" s="1"/>
  <c r="E29" i="23"/>
  <c r="R29" i="23" s="1"/>
  <c r="M32" i="24"/>
  <c r="N32" i="24" s="1"/>
  <c r="M48" i="24"/>
  <c r="N48" i="24" s="1"/>
  <c r="M65" i="24"/>
  <c r="N65" i="24" s="1"/>
  <c r="K33" i="24"/>
  <c r="E18" i="23"/>
  <c r="R18" i="23" s="1"/>
  <c r="M99" i="24"/>
  <c r="N99" i="24" s="1"/>
  <c r="K103" i="24"/>
  <c r="K88" i="24"/>
  <c r="M71" i="24"/>
  <c r="N71" i="24" s="1"/>
  <c r="K63" i="24"/>
  <c r="M51" i="24"/>
  <c r="N51" i="24" s="1"/>
  <c r="M31" i="24"/>
  <c r="N31" i="24" s="1"/>
  <c r="M90" i="24"/>
  <c r="N90" i="24" s="1"/>
  <c r="K48" i="24"/>
  <c r="K32" i="24"/>
  <c r="M22" i="24"/>
  <c r="N22" i="24" s="1"/>
  <c r="K19" i="24"/>
  <c r="E105" i="23"/>
  <c r="R105" i="23" s="1"/>
  <c r="E73" i="23"/>
  <c r="R73" i="23" s="1"/>
  <c r="E41" i="23"/>
  <c r="R41" i="23" s="1"/>
  <c r="E8" i="23"/>
  <c r="R8" i="23" s="1"/>
  <c r="M13" i="24"/>
  <c r="N13" i="24" s="1"/>
  <c r="M21" i="24"/>
  <c r="N21" i="24" s="1"/>
  <c r="K35" i="24"/>
  <c r="K51" i="24"/>
  <c r="K59" i="24"/>
  <c r="D9" i="23"/>
  <c r="F9" i="23" s="1"/>
  <c r="D13" i="23"/>
  <c r="I13" i="23" s="1"/>
  <c r="D17" i="23"/>
  <c r="I17" i="23" s="1"/>
  <c r="D21" i="23"/>
  <c r="D25" i="23"/>
  <c r="I25" i="23" s="1"/>
  <c r="D29" i="23"/>
  <c r="D33" i="23"/>
  <c r="F33" i="23" s="1"/>
  <c r="D37" i="23"/>
  <c r="D41" i="23"/>
  <c r="F41" i="23" s="1"/>
  <c r="D45" i="23"/>
  <c r="D49" i="23"/>
  <c r="I49" i="23" s="1"/>
  <c r="D10" i="23"/>
  <c r="I10" i="23" s="1"/>
  <c r="D14" i="23"/>
  <c r="I14" i="23" s="1"/>
  <c r="D18" i="23"/>
  <c r="D22" i="23"/>
  <c r="I22" i="23" s="1"/>
  <c r="D26" i="23"/>
  <c r="D30" i="23"/>
  <c r="I30" i="23" s="1"/>
  <c r="D34" i="23"/>
  <c r="D38" i="23"/>
  <c r="F38" i="23" s="1"/>
  <c r="D42" i="23"/>
  <c r="D46" i="23"/>
  <c r="I46" i="23" s="1"/>
  <c r="D50" i="23"/>
  <c r="D54" i="23"/>
  <c r="I54" i="23" s="1"/>
  <c r="D58" i="23"/>
  <c r="D62" i="23"/>
  <c r="F62" i="23" s="1"/>
  <c r="D66" i="23"/>
  <c r="D70" i="23"/>
  <c r="F70" i="23" s="1"/>
  <c r="D74" i="23"/>
  <c r="D78" i="23"/>
  <c r="F78" i="23" s="1"/>
  <c r="D82" i="23"/>
  <c r="D86" i="23"/>
  <c r="F86" i="23" s="1"/>
  <c r="D90" i="23"/>
  <c r="D94" i="23"/>
  <c r="I94" i="23" s="1"/>
  <c r="D98" i="23"/>
  <c r="F98" i="23" s="1"/>
  <c r="D102" i="23"/>
  <c r="I102" i="23" s="1"/>
  <c r="D106" i="23"/>
  <c r="F106" i="23" s="1"/>
  <c r="D16" i="23"/>
  <c r="F16" i="23" s="1"/>
  <c r="D24" i="23"/>
  <c r="D32" i="23"/>
  <c r="I32" i="23" s="1"/>
  <c r="D40" i="23"/>
  <c r="D48" i="23"/>
  <c r="F48" i="23" s="1"/>
  <c r="D55" i="23"/>
  <c r="D60" i="23"/>
  <c r="I60" i="23" s="1"/>
  <c r="D65" i="23"/>
  <c r="I65" i="23" s="1"/>
  <c r="D71" i="23"/>
  <c r="I71" i="23" s="1"/>
  <c r="D76" i="23"/>
  <c r="F76" i="23" s="1"/>
  <c r="D81" i="23"/>
  <c r="I81" i="23" s="1"/>
  <c r="D87" i="23"/>
  <c r="D92" i="23"/>
  <c r="I92" i="23" s="1"/>
  <c r="D97" i="23"/>
  <c r="D103" i="23"/>
  <c r="I103" i="23" s="1"/>
  <c r="D7" i="23"/>
  <c r="F7" i="23" s="1"/>
  <c r="D23" i="23"/>
  <c r="F23" i="23" s="1"/>
  <c r="D39" i="23"/>
  <c r="F39" i="23" s="1"/>
  <c r="D53" i="23"/>
  <c r="I53" i="23" s="1"/>
  <c r="D64" i="23"/>
  <c r="D75" i="23"/>
  <c r="F75" i="23" s="1"/>
  <c r="D85" i="23"/>
  <c r="D96" i="23"/>
  <c r="F96" i="23" s="1"/>
  <c r="D8" i="23"/>
  <c r="D11" i="23"/>
  <c r="F11" i="23" s="1"/>
  <c r="D19" i="23"/>
  <c r="D27" i="23"/>
  <c r="F27" i="23" s="1"/>
  <c r="D35" i="23"/>
  <c r="D43" i="23"/>
  <c r="F43" i="23" s="1"/>
  <c r="D51" i="23"/>
  <c r="D56" i="23"/>
  <c r="F56" i="23" s="1"/>
  <c r="D61" i="23"/>
  <c r="I61" i="23" s="1"/>
  <c r="D67" i="23"/>
  <c r="I67" i="23" s="1"/>
  <c r="D72" i="23"/>
  <c r="D77" i="23"/>
  <c r="I77" i="23" s="1"/>
  <c r="D83" i="23"/>
  <c r="D88" i="23"/>
  <c r="I88" i="23" s="1"/>
  <c r="D93" i="23"/>
  <c r="D99" i="23"/>
  <c r="F99" i="23" s="1"/>
  <c r="D104" i="23"/>
  <c r="D6" i="23"/>
  <c r="I6" i="23" s="1"/>
  <c r="D12" i="23"/>
  <c r="I12" i="23" s="1"/>
  <c r="D20" i="23"/>
  <c r="I20" i="23" s="1"/>
  <c r="D28" i="23"/>
  <c r="D36" i="23"/>
  <c r="F36" i="23" s="1"/>
  <c r="D44" i="23"/>
  <c r="F44" i="23" s="1"/>
  <c r="D52" i="23"/>
  <c r="I52" i="23" s="1"/>
  <c r="D57" i="23"/>
  <c r="D63" i="23"/>
  <c r="I63" i="23" s="1"/>
  <c r="D68" i="23"/>
  <c r="D73" i="23"/>
  <c r="I73" i="23" s="1"/>
  <c r="D79" i="23"/>
  <c r="F79" i="23" s="1"/>
  <c r="D84" i="23"/>
  <c r="I84" i="23" s="1"/>
  <c r="D89" i="23"/>
  <c r="F89" i="23" s="1"/>
  <c r="D95" i="23"/>
  <c r="I95" i="23" s="1"/>
  <c r="D100" i="23"/>
  <c r="D105" i="23"/>
  <c r="I105" i="23" s="1"/>
  <c r="D15" i="23"/>
  <c r="D31" i="23"/>
  <c r="F31" i="23" s="1"/>
  <c r="D47" i="23"/>
  <c r="D59" i="23"/>
  <c r="F59" i="23" s="1"/>
  <c r="D69" i="23"/>
  <c r="F69" i="23" s="1"/>
  <c r="D80" i="23"/>
  <c r="I80" i="23" s="1"/>
  <c r="D91" i="23"/>
  <c r="D101" i="23"/>
  <c r="I101" i="23" s="1"/>
  <c r="B10" i="19"/>
  <c r="D10" i="19" s="1"/>
  <c r="I16" i="8"/>
  <c r="J16" i="8" s="1"/>
  <c r="D149" i="2" s="1"/>
  <c r="B150" i="2" s="1"/>
  <c r="B187" i="2"/>
  <c r="B190" i="2" s="1"/>
  <c r="B11" i="19"/>
  <c r="D11" i="19" s="1"/>
  <c r="I4" i="8" s="1"/>
  <c r="J4" i="8" s="1"/>
  <c r="B205" i="2"/>
  <c r="B3" i="8"/>
  <c r="B159" i="8" s="1"/>
  <c r="B158" i="8" s="1"/>
  <c r="B157" i="8" s="1"/>
  <c r="B156" i="8" s="1"/>
  <c r="B155" i="8" s="1"/>
  <c r="B154" i="8" s="1"/>
  <c r="B153" i="8" s="1"/>
  <c r="B152" i="8" s="1"/>
  <c r="B151" i="8" s="1"/>
  <c r="B150" i="8" s="1"/>
  <c r="B149" i="8" s="1"/>
  <c r="B148" i="8" s="1"/>
  <c r="B147" i="8" s="1"/>
  <c r="B146" i="8" s="1"/>
  <c r="B145" i="8" s="1"/>
  <c r="B144" i="8" s="1"/>
  <c r="B143" i="8" s="1"/>
  <c r="B142" i="8" s="1"/>
  <c r="B141" i="8" s="1"/>
  <c r="B140" i="8" s="1"/>
  <c r="B139" i="8" s="1"/>
  <c r="B138" i="8" s="1"/>
  <c r="B137" i="8" s="1"/>
  <c r="B136" i="8" s="1"/>
  <c r="B135" i="8" s="1"/>
  <c r="B134" i="8" s="1"/>
  <c r="B133" i="8" s="1"/>
  <c r="B132" i="8" s="1"/>
  <c r="B131" i="8" s="1"/>
  <c r="B130" i="8" s="1"/>
  <c r="B129" i="8" s="1"/>
  <c r="B128" i="8" s="1"/>
  <c r="B127" i="8" s="1"/>
  <c r="B126" i="8" s="1"/>
  <c r="B125" i="8" s="1"/>
  <c r="B124" i="8" s="1"/>
  <c r="B123" i="8" s="1"/>
  <c r="B122" i="8" s="1"/>
  <c r="B121" i="8" s="1"/>
  <c r="B120" i="8" s="1"/>
  <c r="B119" i="8" s="1"/>
  <c r="B118" i="8" s="1"/>
  <c r="B117" i="8" s="1"/>
  <c r="B116" i="8" s="1"/>
  <c r="B115" i="8" s="1"/>
  <c r="B114" i="8" s="1"/>
  <c r="B113" i="8" s="1"/>
  <c r="B112" i="8" s="1"/>
  <c r="B111" i="8" s="1"/>
  <c r="B110" i="8" s="1"/>
  <c r="B109" i="8" s="1"/>
  <c r="B108" i="8" s="1"/>
  <c r="B107" i="8" s="1"/>
  <c r="B106" i="8" s="1"/>
  <c r="B105" i="8" s="1"/>
  <c r="B104" i="8" s="1"/>
  <c r="B103" i="8" s="1"/>
  <c r="B102" i="8" s="1"/>
  <c r="B101" i="8" s="1"/>
  <c r="B100" i="8" s="1"/>
  <c r="B99" i="8" s="1"/>
  <c r="B98" i="8" s="1"/>
  <c r="B97" i="8" s="1"/>
  <c r="B96" i="8" s="1"/>
  <c r="B95" i="8" s="1"/>
  <c r="B94" i="8" s="1"/>
  <c r="B93" i="8" s="1"/>
  <c r="B92" i="8" s="1"/>
  <c r="B91" i="8" s="1"/>
  <c r="B90" i="8" s="1"/>
  <c r="B89" i="8" s="1"/>
  <c r="B88" i="8" s="1"/>
  <c r="B87" i="8" s="1"/>
  <c r="B86" i="8" s="1"/>
  <c r="B85" i="8" s="1"/>
  <c r="B84" i="8" s="1"/>
  <c r="B83" i="8" s="1"/>
  <c r="B82" i="8" s="1"/>
  <c r="B81" i="8" s="1"/>
  <c r="B80" i="8" s="1"/>
  <c r="B79" i="8" s="1"/>
  <c r="B78" i="8" s="1"/>
  <c r="B77" i="8" s="1"/>
  <c r="B76" i="8" s="1"/>
  <c r="B75" i="8" s="1"/>
  <c r="B74" i="8" s="1"/>
  <c r="B73" i="8" s="1"/>
  <c r="B72" i="8" s="1"/>
  <c r="B71" i="8" s="1"/>
  <c r="B70" i="8" s="1"/>
  <c r="B69" i="8" s="1"/>
  <c r="B68" i="8" s="1"/>
  <c r="B67" i="8" s="1"/>
  <c r="B66" i="8" s="1"/>
  <c r="B65" i="8" s="1"/>
  <c r="B64" i="8" s="1"/>
  <c r="B63" i="8" s="1"/>
  <c r="B62" i="8" s="1"/>
  <c r="B61" i="8" s="1"/>
  <c r="B60" i="8" s="1"/>
  <c r="B59" i="8" s="1"/>
  <c r="B58" i="8" s="1"/>
  <c r="B57" i="8" s="1"/>
  <c r="B56" i="8" s="1"/>
  <c r="B55" i="8" s="1"/>
  <c r="B54" i="8" s="1"/>
  <c r="B53" i="8" s="1"/>
  <c r="B52" i="8" s="1"/>
  <c r="B51" i="8" s="1"/>
  <c r="B50" i="8" s="1"/>
  <c r="B49" i="8" s="1"/>
  <c r="B48" i="8" s="1"/>
  <c r="B47" i="8" s="1"/>
  <c r="B46" i="8" s="1"/>
  <c r="B45" i="8" s="1"/>
  <c r="B44" i="8" s="1"/>
  <c r="B43" i="8" s="1"/>
  <c r="B42" i="8" s="1"/>
  <c r="B41" i="8" s="1"/>
  <c r="B40" i="8" s="1"/>
  <c r="B39" i="8" s="1"/>
  <c r="B38" i="8" s="1"/>
  <c r="B37" i="8" s="1"/>
  <c r="B36" i="8" s="1"/>
  <c r="B35" i="8" s="1"/>
  <c r="B34" i="8" s="1"/>
  <c r="B33" i="8" s="1"/>
  <c r="B32" i="8" s="1"/>
  <c r="B31" i="8" s="1"/>
  <c r="B30" i="8" s="1"/>
  <c r="B29" i="8" s="1"/>
  <c r="B28" i="8" s="1"/>
  <c r="B27" i="8" s="1"/>
  <c r="B26" i="8" s="1"/>
  <c r="B25" i="8" s="1"/>
  <c r="B24" i="8" s="1"/>
  <c r="B23" i="8" s="1"/>
  <c r="B22" i="8" s="1"/>
  <c r="B21" i="8" s="1"/>
  <c r="B20" i="8" s="1"/>
  <c r="B19" i="8" s="1"/>
  <c r="B18" i="8" s="1"/>
  <c r="B17" i="8" s="1"/>
  <c r="B16" i="8" s="1"/>
  <c r="B15" i="8" s="1"/>
  <c r="B14" i="8" s="1"/>
  <c r="B13" i="8" s="1"/>
  <c r="B12" i="8" s="1"/>
  <c r="B11" i="8" s="1"/>
  <c r="B10" i="8" s="1"/>
  <c r="B9" i="8" s="1"/>
  <c r="B8" i="8" s="1"/>
  <c r="B7" i="8" s="1"/>
  <c r="B6" i="8" s="1"/>
  <c r="B4" i="8" s="1"/>
  <c r="D31" i="16"/>
  <c r="D3" i="8"/>
  <c r="D159" i="8" s="1"/>
  <c r="D158" i="8" s="1"/>
  <c r="D157" i="8" s="1"/>
  <c r="D156" i="8" s="1"/>
  <c r="D155" i="8" s="1"/>
  <c r="D154" i="8" s="1"/>
  <c r="D153" i="8" s="1"/>
  <c r="D152" i="8" s="1"/>
  <c r="D151" i="8" s="1"/>
  <c r="D150" i="8" s="1"/>
  <c r="D149" i="8" s="1"/>
  <c r="D148" i="8" s="1"/>
  <c r="D147" i="8" s="1"/>
  <c r="D146" i="8" s="1"/>
  <c r="D145" i="8" s="1"/>
  <c r="D144" i="8" s="1"/>
  <c r="D143" i="8" s="1"/>
  <c r="D142" i="8" s="1"/>
  <c r="D141" i="8" s="1"/>
  <c r="D140" i="8" s="1"/>
  <c r="D139" i="8" s="1"/>
  <c r="D138" i="8" s="1"/>
  <c r="D137" i="8" s="1"/>
  <c r="D136" i="8" s="1"/>
  <c r="D135" i="8" s="1"/>
  <c r="D134" i="8" s="1"/>
  <c r="D133" i="8" s="1"/>
  <c r="D132" i="8" s="1"/>
  <c r="D131" i="8" s="1"/>
  <c r="D130" i="8" s="1"/>
  <c r="D129" i="8" s="1"/>
  <c r="D128" i="8" s="1"/>
  <c r="D127" i="8" s="1"/>
  <c r="D126" i="8" s="1"/>
  <c r="D125" i="8" s="1"/>
  <c r="D124" i="8" s="1"/>
  <c r="D123" i="8" s="1"/>
  <c r="D122" i="8" s="1"/>
  <c r="D121" i="8" s="1"/>
  <c r="D120" i="8" s="1"/>
  <c r="D119" i="8" s="1"/>
  <c r="D118" i="8" s="1"/>
  <c r="D117" i="8" s="1"/>
  <c r="D116" i="8" s="1"/>
  <c r="D115" i="8" s="1"/>
  <c r="D114" i="8" s="1"/>
  <c r="D113" i="8" s="1"/>
  <c r="D112" i="8" s="1"/>
  <c r="D111" i="8" s="1"/>
  <c r="D110" i="8" s="1"/>
  <c r="D109" i="8" s="1"/>
  <c r="D108" i="8" s="1"/>
  <c r="D107" i="8" s="1"/>
  <c r="D106" i="8" s="1"/>
  <c r="D105" i="8" s="1"/>
  <c r="D104" i="8" s="1"/>
  <c r="D103" i="8" s="1"/>
  <c r="D102" i="8" s="1"/>
  <c r="D101" i="8" s="1"/>
  <c r="D100" i="8" s="1"/>
  <c r="D99" i="8" s="1"/>
  <c r="D98" i="8" s="1"/>
  <c r="D97" i="8" s="1"/>
  <c r="D96" i="8" s="1"/>
  <c r="D95" i="8" s="1"/>
  <c r="D94" i="8" s="1"/>
  <c r="D93" i="8" s="1"/>
  <c r="D92" i="8" s="1"/>
  <c r="D91" i="8" s="1"/>
  <c r="D90" i="8" s="1"/>
  <c r="D89" i="8" s="1"/>
  <c r="D88" i="8" s="1"/>
  <c r="D87" i="8" s="1"/>
  <c r="D86" i="8" s="1"/>
  <c r="D85" i="8" s="1"/>
  <c r="D84" i="8" s="1"/>
  <c r="D83" i="8" s="1"/>
  <c r="D82" i="8" s="1"/>
  <c r="D81" i="8" s="1"/>
  <c r="D80" i="8" s="1"/>
  <c r="D79" i="8" s="1"/>
  <c r="D78" i="8" s="1"/>
  <c r="D77" i="8" s="1"/>
  <c r="D76" i="8" s="1"/>
  <c r="D75" i="8" s="1"/>
  <c r="D74" i="8" s="1"/>
  <c r="D73" i="8" s="1"/>
  <c r="D72" i="8" s="1"/>
  <c r="D71" i="8" s="1"/>
  <c r="D70" i="8" s="1"/>
  <c r="D69" i="8" s="1"/>
  <c r="D68" i="8" s="1"/>
  <c r="D67" i="8" s="1"/>
  <c r="D66" i="8" s="1"/>
  <c r="D65" i="8" s="1"/>
  <c r="D64" i="8" s="1"/>
  <c r="D63" i="8" s="1"/>
  <c r="D62" i="8" s="1"/>
  <c r="D61" i="8" s="1"/>
  <c r="D60" i="8" s="1"/>
  <c r="D59" i="8" s="1"/>
  <c r="D58" i="8" s="1"/>
  <c r="D57" i="8" s="1"/>
  <c r="D56" i="8" s="1"/>
  <c r="D55" i="8" s="1"/>
  <c r="D54" i="8" s="1"/>
  <c r="D53" i="8" s="1"/>
  <c r="D52" i="8" s="1"/>
  <c r="D51" i="8" s="1"/>
  <c r="D50" i="8" s="1"/>
  <c r="D49" i="8" s="1"/>
  <c r="D48" i="8" s="1"/>
  <c r="D47" i="8" s="1"/>
  <c r="D46" i="8" s="1"/>
  <c r="D45" i="8" s="1"/>
  <c r="D44" i="8" s="1"/>
  <c r="D43" i="8" s="1"/>
  <c r="D42" i="8" s="1"/>
  <c r="D41" i="8" s="1"/>
  <c r="D40" i="8" s="1"/>
  <c r="D39" i="8" s="1"/>
  <c r="D38" i="8" s="1"/>
  <c r="D37" i="8" s="1"/>
  <c r="D36" i="8" s="1"/>
  <c r="D35" i="8" s="1"/>
  <c r="D34" i="8" s="1"/>
  <c r="D33" i="8" s="1"/>
  <c r="D32" i="8" s="1"/>
  <c r="D31" i="8" s="1"/>
  <c r="D30" i="8" s="1"/>
  <c r="D29" i="8" s="1"/>
  <c r="D28" i="8" s="1"/>
  <c r="D27" i="8" s="1"/>
  <c r="D26" i="8" s="1"/>
  <c r="D25" i="8" s="1"/>
  <c r="D24" i="8" s="1"/>
  <c r="D23" i="8" s="1"/>
  <c r="D22" i="8" s="1"/>
  <c r="D21" i="8" s="1"/>
  <c r="D20" i="8" s="1"/>
  <c r="D19" i="8" s="1"/>
  <c r="D18" i="8" s="1"/>
  <c r="D17" i="8" s="1"/>
  <c r="D16" i="8" s="1"/>
  <c r="D15" i="8" s="1"/>
  <c r="D14" i="8" s="1"/>
  <c r="D13" i="8" s="1"/>
  <c r="D12" i="8" s="1"/>
  <c r="D11" i="8" s="1"/>
  <c r="D10" i="8" s="1"/>
  <c r="D9" i="8" s="1"/>
  <c r="D8" i="8" s="1"/>
  <c r="D7" i="8" s="1"/>
  <c r="D6" i="8" s="1"/>
  <c r="D4" i="8" s="1"/>
  <c r="E159" i="8"/>
  <c r="E158" i="8" s="1"/>
  <c r="E157" i="8" s="1"/>
  <c r="E156" i="8" s="1"/>
  <c r="E155" i="8" s="1"/>
  <c r="E154" i="8" s="1"/>
  <c r="E153" i="8" s="1"/>
  <c r="E152" i="8" s="1"/>
  <c r="E151" i="8" s="1"/>
  <c r="E150" i="8" s="1"/>
  <c r="E149" i="8" s="1"/>
  <c r="E148" i="8" s="1"/>
  <c r="E147" i="8" s="1"/>
  <c r="E146" i="8" s="1"/>
  <c r="E145" i="8" s="1"/>
  <c r="E144" i="8" s="1"/>
  <c r="E143" i="8" s="1"/>
  <c r="E142" i="8" s="1"/>
  <c r="E141" i="8" s="1"/>
  <c r="E140" i="8" s="1"/>
  <c r="E139" i="8" s="1"/>
  <c r="E138" i="8" s="1"/>
  <c r="E137" i="8" s="1"/>
  <c r="E136" i="8" s="1"/>
  <c r="E135" i="8" s="1"/>
  <c r="E134" i="8" s="1"/>
  <c r="E133" i="8" s="1"/>
  <c r="E132" i="8" s="1"/>
  <c r="E131" i="8" s="1"/>
  <c r="E130" i="8" s="1"/>
  <c r="E129" i="8" s="1"/>
  <c r="E128" i="8" s="1"/>
  <c r="E127" i="8" s="1"/>
  <c r="E126" i="8" s="1"/>
  <c r="E125" i="8" s="1"/>
  <c r="E124" i="8" s="1"/>
  <c r="E123" i="8" s="1"/>
  <c r="E122" i="8" s="1"/>
  <c r="E121" i="8" s="1"/>
  <c r="E120" i="8" s="1"/>
  <c r="E119" i="8" s="1"/>
  <c r="E118" i="8" s="1"/>
  <c r="E117" i="8" s="1"/>
  <c r="E116" i="8" s="1"/>
  <c r="E115" i="8" s="1"/>
  <c r="E114" i="8" s="1"/>
  <c r="E113" i="8" s="1"/>
  <c r="E112" i="8" s="1"/>
  <c r="E111" i="8" s="1"/>
  <c r="E110" i="8" s="1"/>
  <c r="E109" i="8" s="1"/>
  <c r="E108" i="8" s="1"/>
  <c r="E107" i="8" s="1"/>
  <c r="E106" i="8" s="1"/>
  <c r="E105" i="8" s="1"/>
  <c r="E104" i="8" s="1"/>
  <c r="E103" i="8" s="1"/>
  <c r="E102" i="8" s="1"/>
  <c r="E101" i="8" s="1"/>
  <c r="E100" i="8" s="1"/>
  <c r="E99" i="8" s="1"/>
  <c r="E98" i="8" s="1"/>
  <c r="E97" i="8" s="1"/>
  <c r="E96" i="8" s="1"/>
  <c r="E95" i="8" s="1"/>
  <c r="E94" i="8" s="1"/>
  <c r="E93" i="8" s="1"/>
  <c r="E92" i="8" s="1"/>
  <c r="E91" i="8" s="1"/>
  <c r="E90" i="8" s="1"/>
  <c r="E89" i="8" s="1"/>
  <c r="E88" i="8" s="1"/>
  <c r="E87" i="8" s="1"/>
  <c r="E86" i="8" s="1"/>
  <c r="E85" i="8" s="1"/>
  <c r="E84" i="8" s="1"/>
  <c r="E83" i="8" s="1"/>
  <c r="E82" i="8" s="1"/>
  <c r="E81" i="8" s="1"/>
  <c r="E80" i="8" s="1"/>
  <c r="E79" i="8" s="1"/>
  <c r="E78" i="8" s="1"/>
  <c r="E77" i="8" s="1"/>
  <c r="E76" i="8" s="1"/>
  <c r="E75" i="8" s="1"/>
  <c r="E74" i="8" s="1"/>
  <c r="E73" i="8" s="1"/>
  <c r="E72" i="8" s="1"/>
  <c r="E71" i="8" s="1"/>
  <c r="E70" i="8" s="1"/>
  <c r="E69" i="8" s="1"/>
  <c r="E68" i="8" s="1"/>
  <c r="E67" i="8" s="1"/>
  <c r="E66" i="8" s="1"/>
  <c r="E65" i="8" s="1"/>
  <c r="E64" i="8" s="1"/>
  <c r="E63" i="8" s="1"/>
  <c r="E62" i="8" s="1"/>
  <c r="E61" i="8" s="1"/>
  <c r="E60" i="8" s="1"/>
  <c r="E59" i="8" s="1"/>
  <c r="E58" i="8" s="1"/>
  <c r="E57" i="8" s="1"/>
  <c r="E56" i="8" s="1"/>
  <c r="E55" i="8" s="1"/>
  <c r="E54" i="8" s="1"/>
  <c r="E53" i="8" s="1"/>
  <c r="E52" i="8" s="1"/>
  <c r="E51" i="8" s="1"/>
  <c r="E50" i="8" s="1"/>
  <c r="E49" i="8" s="1"/>
  <c r="E48" i="8" s="1"/>
  <c r="E47" i="8" s="1"/>
  <c r="E46" i="8" s="1"/>
  <c r="E45" i="8" s="1"/>
  <c r="E44" i="8" s="1"/>
  <c r="E43" i="8" s="1"/>
  <c r="E42" i="8" s="1"/>
  <c r="E41" i="8" s="1"/>
  <c r="E40" i="8" s="1"/>
  <c r="E39" i="8" s="1"/>
  <c r="E38" i="8" s="1"/>
  <c r="E37" i="8" s="1"/>
  <c r="E36" i="8" s="1"/>
  <c r="E35" i="8" s="1"/>
  <c r="E34" i="8" s="1"/>
  <c r="E33" i="8" s="1"/>
  <c r="E32" i="8" s="1"/>
  <c r="E31" i="8" s="1"/>
  <c r="E30" i="8" s="1"/>
  <c r="E29" i="8" s="1"/>
  <c r="E28" i="8" s="1"/>
  <c r="E27" i="8" s="1"/>
  <c r="E26" i="8" s="1"/>
  <c r="E25" i="8" s="1"/>
  <c r="E24" i="8" s="1"/>
  <c r="E23" i="8" s="1"/>
  <c r="E22" i="8" s="1"/>
  <c r="E21" i="8" s="1"/>
  <c r="E20" i="8" s="1"/>
  <c r="E19" i="8" s="1"/>
  <c r="E18" i="8" s="1"/>
  <c r="E17" i="8" s="1"/>
  <c r="E16" i="8" s="1"/>
  <c r="E15" i="8" s="1"/>
  <c r="E14" i="8" s="1"/>
  <c r="E13" i="8" s="1"/>
  <c r="E12" i="8" s="1"/>
  <c r="E11" i="8" s="1"/>
  <c r="E10" i="8" s="1"/>
  <c r="E9" i="8" s="1"/>
  <c r="E8" i="8" s="1"/>
  <c r="E7" i="8" s="1"/>
  <c r="E6" i="8" s="1"/>
  <c r="E4" i="8" s="1"/>
  <c r="B206" i="2"/>
  <c r="S53" i="2"/>
  <c r="D33" i="16" s="1"/>
  <c r="B200" i="2"/>
  <c r="I50" i="2"/>
  <c r="C3" i="8"/>
  <c r="C159" i="8" s="1"/>
  <c r="C158" i="8" s="1"/>
  <c r="G35" i="16"/>
  <c r="A200" i="2"/>
  <c r="F27" i="1"/>
  <c r="B9" i="19"/>
  <c r="D9" i="19" s="1"/>
  <c r="B17" i="19"/>
  <c r="D17" i="19" s="1"/>
  <c r="B189" i="2"/>
  <c r="B188" i="2"/>
  <c r="B13" i="2"/>
  <c r="N131" i="25" l="1"/>
  <c r="BI131" i="25"/>
  <c r="L116" i="25"/>
  <c r="BI116" i="25"/>
  <c r="L164" i="25"/>
  <c r="BI164" i="25"/>
  <c r="N157" i="25"/>
  <c r="O157" i="25" s="1"/>
  <c r="R157" i="25" s="1"/>
  <c r="BI157" i="25"/>
  <c r="N189" i="25"/>
  <c r="BI189" i="25"/>
  <c r="N138" i="25"/>
  <c r="O138" i="25" s="1"/>
  <c r="R138" i="25" s="1"/>
  <c r="BI138" i="25"/>
  <c r="L143" i="25"/>
  <c r="BI143" i="25"/>
  <c r="N183" i="25"/>
  <c r="O183" i="25" s="1"/>
  <c r="Q183" i="25" s="1"/>
  <c r="BI183" i="25"/>
  <c r="L120" i="25"/>
  <c r="BI120" i="25"/>
  <c r="L136" i="25"/>
  <c r="BI136" i="25"/>
  <c r="N152" i="25"/>
  <c r="O152" i="25" s="1"/>
  <c r="Q152" i="25" s="1"/>
  <c r="BI152" i="25"/>
  <c r="L168" i="25"/>
  <c r="BI168" i="25"/>
  <c r="N184" i="25"/>
  <c r="BI184" i="25"/>
  <c r="N200" i="25"/>
  <c r="O200" i="25" s="1"/>
  <c r="Q200" i="25" s="1"/>
  <c r="BI200" i="25"/>
  <c r="N139" i="25"/>
  <c r="O139" i="25" s="1"/>
  <c r="R139" i="25" s="1"/>
  <c r="BI139" i="25"/>
  <c r="L191" i="25"/>
  <c r="BI191" i="25"/>
  <c r="N113" i="25"/>
  <c r="BI113" i="25"/>
  <c r="L129" i="25"/>
  <c r="BI129" i="25"/>
  <c r="N145" i="25"/>
  <c r="O145" i="25" s="1"/>
  <c r="R145" i="25" s="1"/>
  <c r="BI145" i="25"/>
  <c r="N177" i="25"/>
  <c r="O177" i="25" s="1"/>
  <c r="R177" i="25" s="1"/>
  <c r="BI177" i="25"/>
  <c r="L193" i="25"/>
  <c r="BI193" i="25"/>
  <c r="L209" i="25"/>
  <c r="BI209" i="25"/>
  <c r="L147" i="25"/>
  <c r="BI147" i="25"/>
  <c r="N207" i="25"/>
  <c r="O207" i="25" s="1"/>
  <c r="Q207" i="25" s="1"/>
  <c r="BI207" i="25"/>
  <c r="N126" i="25"/>
  <c r="BI126" i="25"/>
  <c r="N142" i="25"/>
  <c r="O142" i="25" s="1"/>
  <c r="Q142" i="25" s="1"/>
  <c r="BI142" i="25"/>
  <c r="N158" i="25"/>
  <c r="O158" i="25" s="1"/>
  <c r="R158" i="25" s="1"/>
  <c r="BI158" i="25"/>
  <c r="L174" i="25"/>
  <c r="BI174" i="25"/>
  <c r="N190" i="25"/>
  <c r="BI190" i="25"/>
  <c r="L206" i="25"/>
  <c r="BI206" i="25"/>
  <c r="L115" i="25"/>
  <c r="BI115" i="25"/>
  <c r="N151" i="25"/>
  <c r="O151" i="25" s="1"/>
  <c r="R151" i="25" s="1"/>
  <c r="BI151" i="25"/>
  <c r="L199" i="25"/>
  <c r="BI199" i="25"/>
  <c r="N124" i="25"/>
  <c r="O124" i="25" s="1"/>
  <c r="Q124" i="25" s="1"/>
  <c r="BI124" i="25"/>
  <c r="L140" i="25"/>
  <c r="BI140" i="25"/>
  <c r="L156" i="25"/>
  <c r="BI156" i="25"/>
  <c r="N172" i="25"/>
  <c r="BI172" i="25"/>
  <c r="N188" i="25"/>
  <c r="O188" i="25" s="1"/>
  <c r="Q188" i="25" s="1"/>
  <c r="BI188" i="25"/>
  <c r="N204" i="25"/>
  <c r="O204" i="25" s="1"/>
  <c r="R204" i="25" s="1"/>
  <c r="BI204" i="25"/>
  <c r="L159" i="25"/>
  <c r="BI159" i="25"/>
  <c r="N195" i="25"/>
  <c r="BI195" i="25"/>
  <c r="N117" i="25"/>
  <c r="O117" i="25" s="1"/>
  <c r="Q117" i="25" s="1"/>
  <c r="BI117" i="25"/>
  <c r="N133" i="25"/>
  <c r="O133" i="25" s="1"/>
  <c r="R133" i="25" s="1"/>
  <c r="BI133" i="25"/>
  <c r="L149" i="25"/>
  <c r="BI149" i="25"/>
  <c r="N165" i="25"/>
  <c r="BI165" i="25"/>
  <c r="N181" i="25"/>
  <c r="O181" i="25" s="1"/>
  <c r="Q181" i="25" s="1"/>
  <c r="BI181" i="25"/>
  <c r="N197" i="25"/>
  <c r="O197" i="25" s="1"/>
  <c r="Q197" i="25" s="1"/>
  <c r="BI197" i="25"/>
  <c r="L111" i="25"/>
  <c r="BI111" i="25"/>
  <c r="N155" i="25"/>
  <c r="BI155" i="25"/>
  <c r="L114" i="25"/>
  <c r="BI114" i="25"/>
  <c r="L130" i="25"/>
  <c r="BI130" i="25"/>
  <c r="N146" i="25"/>
  <c r="O146" i="25" s="1"/>
  <c r="Q146" i="25" s="1"/>
  <c r="BI146" i="25"/>
  <c r="N162" i="25"/>
  <c r="BI162" i="25"/>
  <c r="L178" i="25"/>
  <c r="BI178" i="25"/>
  <c r="L194" i="25"/>
  <c r="BI194" i="25"/>
  <c r="L210" i="25"/>
  <c r="BI210" i="25"/>
  <c r="N171" i="25"/>
  <c r="BI171" i="25"/>
  <c r="L132" i="25"/>
  <c r="BI132" i="25"/>
  <c r="N148" i="25"/>
  <c r="O148" i="25" s="1"/>
  <c r="Q148" i="25" s="1"/>
  <c r="BI148" i="25"/>
  <c r="N180" i="25"/>
  <c r="O180" i="25" s="1"/>
  <c r="R180" i="25" s="1"/>
  <c r="BI180" i="25"/>
  <c r="L196" i="25"/>
  <c r="BI196" i="25"/>
  <c r="N127" i="25"/>
  <c r="O127" i="25" s="1"/>
  <c r="Q127" i="25" s="1"/>
  <c r="BI127" i="25"/>
  <c r="L187" i="25"/>
  <c r="BI187" i="25"/>
  <c r="N125" i="25"/>
  <c r="O125" i="25" s="1"/>
  <c r="Q125" i="25" s="1"/>
  <c r="BI125" i="25"/>
  <c r="N141" i="25"/>
  <c r="BI141" i="25"/>
  <c r="N173" i="25"/>
  <c r="O173" i="25" s="1"/>
  <c r="R173" i="25" s="1"/>
  <c r="BI173" i="25"/>
  <c r="N205" i="25"/>
  <c r="O205" i="25" s="1"/>
  <c r="Q205" i="25" s="1"/>
  <c r="BI205" i="25"/>
  <c r="L135" i="25"/>
  <c r="BI135" i="25"/>
  <c r="L179" i="25"/>
  <c r="BI179" i="25"/>
  <c r="N122" i="25"/>
  <c r="O122" i="25" s="1"/>
  <c r="R122" i="25" s="1"/>
  <c r="BI122" i="25"/>
  <c r="L154" i="25"/>
  <c r="BI154" i="25"/>
  <c r="N170" i="25"/>
  <c r="O170" i="25" s="1"/>
  <c r="R170" i="25" s="1"/>
  <c r="BI170" i="25"/>
  <c r="L186" i="25"/>
  <c r="BI186" i="25"/>
  <c r="N202" i="25"/>
  <c r="O202" i="25" s="1"/>
  <c r="R202" i="25" s="1"/>
  <c r="BI202" i="25"/>
  <c r="L161" i="25"/>
  <c r="BI161" i="25"/>
  <c r="L123" i="25"/>
  <c r="BI123" i="25"/>
  <c r="N163" i="25"/>
  <c r="BI163" i="25"/>
  <c r="L112" i="25"/>
  <c r="BI112" i="25"/>
  <c r="N128" i="25"/>
  <c r="O128" i="25" s="1"/>
  <c r="Q128" i="25" s="1"/>
  <c r="BI128" i="25"/>
  <c r="L144" i="25"/>
  <c r="BI144" i="25"/>
  <c r="L160" i="25"/>
  <c r="BI160" i="25"/>
  <c r="N176" i="25"/>
  <c r="O176" i="25" s="1"/>
  <c r="R176" i="25" s="1"/>
  <c r="BI176" i="25"/>
  <c r="L192" i="25"/>
  <c r="BI192" i="25"/>
  <c r="N208" i="25"/>
  <c r="O208" i="25" s="1"/>
  <c r="Q208" i="25" s="1"/>
  <c r="BI208" i="25"/>
  <c r="L175" i="25"/>
  <c r="BI175" i="25"/>
  <c r="N203" i="25"/>
  <c r="O203" i="25" s="1"/>
  <c r="Q203" i="25" s="1"/>
  <c r="BI203" i="25"/>
  <c r="N121" i="25"/>
  <c r="O121" i="25" s="1"/>
  <c r="Q121" i="25" s="1"/>
  <c r="BI121" i="25"/>
  <c r="L137" i="25"/>
  <c r="BI137" i="25"/>
  <c r="L153" i="25"/>
  <c r="BI153" i="25"/>
  <c r="L169" i="25"/>
  <c r="BI169" i="25"/>
  <c r="L185" i="25"/>
  <c r="BI185" i="25"/>
  <c r="L201" i="25"/>
  <c r="BI201" i="25"/>
  <c r="L119" i="25"/>
  <c r="BI119" i="25"/>
  <c r="L167" i="25"/>
  <c r="BI167" i="25"/>
  <c r="N118" i="25"/>
  <c r="O118" i="25" s="1"/>
  <c r="R118" i="25" s="1"/>
  <c r="BI118" i="25"/>
  <c r="L134" i="25"/>
  <c r="BI134" i="25"/>
  <c r="N150" i="25"/>
  <c r="O150" i="25" s="1"/>
  <c r="Q150" i="25" s="1"/>
  <c r="BI150" i="25"/>
  <c r="L166" i="25"/>
  <c r="BI166" i="25"/>
  <c r="L182" i="25"/>
  <c r="BI182" i="25"/>
  <c r="L198" i="25"/>
  <c r="BI198" i="25"/>
  <c r="K171" i="24"/>
  <c r="BK171" i="24"/>
  <c r="M123" i="24"/>
  <c r="N123" i="24" s="1"/>
  <c r="P123" i="24" s="1"/>
  <c r="BK123" i="24"/>
  <c r="K175" i="24"/>
  <c r="BK175" i="24"/>
  <c r="M128" i="24"/>
  <c r="N128" i="24" s="1"/>
  <c r="P128" i="24" s="1"/>
  <c r="BK128" i="24"/>
  <c r="K184" i="24"/>
  <c r="BK184" i="24"/>
  <c r="M142" i="24"/>
  <c r="N142" i="24" s="1"/>
  <c r="P142" i="24" s="1"/>
  <c r="BK142" i="24"/>
  <c r="M194" i="24"/>
  <c r="N194" i="24" s="1"/>
  <c r="P194" i="24" s="1"/>
  <c r="BK194" i="24"/>
  <c r="K151" i="24"/>
  <c r="BK151" i="24"/>
  <c r="K124" i="24"/>
  <c r="BK124" i="24"/>
  <c r="K114" i="24"/>
  <c r="BK114" i="24"/>
  <c r="M181" i="24"/>
  <c r="N181" i="24" s="1"/>
  <c r="P181" i="24" s="1"/>
  <c r="BK181" i="24"/>
  <c r="M165" i="24"/>
  <c r="N165" i="24" s="1"/>
  <c r="P165" i="24" s="1"/>
  <c r="BK165" i="24"/>
  <c r="K133" i="24"/>
  <c r="BK133" i="24"/>
  <c r="M208" i="24"/>
  <c r="N208" i="24" s="1"/>
  <c r="P208" i="24" s="1"/>
  <c r="BK208" i="24"/>
  <c r="K166" i="24"/>
  <c r="BK166" i="24"/>
  <c r="M115" i="24"/>
  <c r="N115" i="24" s="1"/>
  <c r="P115" i="24" s="1"/>
  <c r="BK115" i="24"/>
  <c r="M170" i="24"/>
  <c r="N170" i="24" s="1"/>
  <c r="P170" i="24" s="1"/>
  <c r="BK170" i="24"/>
  <c r="K120" i="24"/>
  <c r="BK120" i="24"/>
  <c r="M179" i="24"/>
  <c r="N179" i="24" s="1"/>
  <c r="P179" i="24" s="1"/>
  <c r="BK179" i="24"/>
  <c r="K135" i="24"/>
  <c r="BK135" i="24"/>
  <c r="M210" i="24"/>
  <c r="BK210" i="24"/>
  <c r="M167" i="24"/>
  <c r="N167" i="24" s="1"/>
  <c r="P167" i="24" s="1"/>
  <c r="BK167" i="24"/>
  <c r="K146" i="24"/>
  <c r="BK146" i="24"/>
  <c r="K126" i="24"/>
  <c r="BK126" i="24"/>
  <c r="K193" i="24"/>
  <c r="BK193" i="24"/>
  <c r="M161" i="24"/>
  <c r="N161" i="24" s="1"/>
  <c r="P161" i="24" s="1"/>
  <c r="BK161" i="24"/>
  <c r="K113" i="24"/>
  <c r="BK113" i="24"/>
  <c r="K198" i="24"/>
  <c r="BK198" i="24"/>
  <c r="K176" i="24"/>
  <c r="BK176" i="24"/>
  <c r="M155" i="24"/>
  <c r="N155" i="24" s="1"/>
  <c r="P155" i="24" s="1"/>
  <c r="BK155" i="24"/>
  <c r="M131" i="24"/>
  <c r="N131" i="24" s="1"/>
  <c r="P131" i="24" s="1"/>
  <c r="BK131" i="24"/>
  <c r="K202" i="24"/>
  <c r="BK202" i="24"/>
  <c r="K180" i="24"/>
  <c r="BK180" i="24"/>
  <c r="M159" i="24"/>
  <c r="N159" i="24" s="1"/>
  <c r="P159" i="24" s="1"/>
  <c r="BK159" i="24"/>
  <c r="M136" i="24"/>
  <c r="N136" i="24" s="1"/>
  <c r="P136" i="24" s="1"/>
  <c r="BK136" i="24"/>
  <c r="K190" i="24"/>
  <c r="BK190" i="24"/>
  <c r="K168" i="24"/>
  <c r="BK168" i="24"/>
  <c r="K147" i="24"/>
  <c r="BK147" i="24"/>
  <c r="M119" i="24"/>
  <c r="N119" i="24" s="1"/>
  <c r="P119" i="24" s="1"/>
  <c r="BK119" i="24"/>
  <c r="M199" i="24"/>
  <c r="N199" i="24" s="1"/>
  <c r="P199" i="24" s="1"/>
  <c r="BK199" i="24"/>
  <c r="K178" i="24"/>
  <c r="BK178" i="24"/>
  <c r="K156" i="24"/>
  <c r="BK156" i="24"/>
  <c r="K132" i="24"/>
  <c r="BK132" i="24"/>
  <c r="M134" i="24"/>
  <c r="N134" i="24" s="1"/>
  <c r="P134" i="24" s="1"/>
  <c r="BK134" i="24"/>
  <c r="K118" i="24"/>
  <c r="BK118" i="24"/>
  <c r="M201" i="24"/>
  <c r="N201" i="24" s="1"/>
  <c r="P201" i="24" s="1"/>
  <c r="BK201" i="24"/>
  <c r="K185" i="24"/>
  <c r="BK185" i="24"/>
  <c r="M169" i="24"/>
  <c r="N169" i="24" s="1"/>
  <c r="P169" i="24" s="1"/>
  <c r="BK169" i="24"/>
  <c r="K153" i="24"/>
  <c r="BK153" i="24"/>
  <c r="M137" i="24"/>
  <c r="N137" i="24" s="1"/>
  <c r="P137" i="24" s="1"/>
  <c r="BK137" i="24"/>
  <c r="K121" i="24"/>
  <c r="BK121" i="24"/>
  <c r="M192" i="24"/>
  <c r="N192" i="24" s="1"/>
  <c r="P192" i="24" s="1"/>
  <c r="BK192" i="24"/>
  <c r="M150" i="24"/>
  <c r="N150" i="24" s="1"/>
  <c r="P150" i="24" s="1"/>
  <c r="BK150" i="24"/>
  <c r="M196" i="24"/>
  <c r="N196" i="24" s="1"/>
  <c r="P196" i="24" s="1"/>
  <c r="BK196" i="24"/>
  <c r="M154" i="24"/>
  <c r="N154" i="24" s="1"/>
  <c r="P154" i="24" s="1"/>
  <c r="BK154" i="24"/>
  <c r="M206" i="24"/>
  <c r="N206" i="24" s="1"/>
  <c r="P206" i="24" s="1"/>
  <c r="BK206" i="24"/>
  <c r="M163" i="24"/>
  <c r="N163" i="24" s="1"/>
  <c r="P163" i="24" s="1"/>
  <c r="BK163" i="24"/>
  <c r="K111" i="24"/>
  <c r="BK111" i="24"/>
  <c r="M172" i="24"/>
  <c r="N172" i="24" s="1"/>
  <c r="P172" i="24" s="1"/>
  <c r="BK172" i="24"/>
  <c r="K130" i="24"/>
  <c r="BK130" i="24"/>
  <c r="K197" i="24"/>
  <c r="BK197" i="24"/>
  <c r="M149" i="24"/>
  <c r="N149" i="24" s="1"/>
  <c r="P149" i="24" s="1"/>
  <c r="BK149" i="24"/>
  <c r="K117" i="24"/>
  <c r="BK117" i="24"/>
  <c r="M187" i="24"/>
  <c r="N187" i="24" s="1"/>
  <c r="P187" i="24" s="1"/>
  <c r="BK187" i="24"/>
  <c r="K144" i="24"/>
  <c r="BK144" i="24"/>
  <c r="K191" i="24"/>
  <c r="BK191" i="24"/>
  <c r="M148" i="24"/>
  <c r="N148" i="24" s="1"/>
  <c r="P148" i="24" s="1"/>
  <c r="BK148" i="24"/>
  <c r="K200" i="24"/>
  <c r="BK200" i="24"/>
  <c r="K158" i="24"/>
  <c r="BK158" i="24"/>
  <c r="M188" i="24"/>
  <c r="N188" i="24" s="1"/>
  <c r="P188" i="24" s="1"/>
  <c r="BK188" i="24"/>
  <c r="M116" i="24"/>
  <c r="N116" i="24" s="1"/>
  <c r="P116" i="24" s="1"/>
  <c r="BK116" i="24"/>
  <c r="K209" i="24"/>
  <c r="BK209" i="24"/>
  <c r="M177" i="24"/>
  <c r="N177" i="24" s="1"/>
  <c r="P177" i="24" s="1"/>
  <c r="BK177" i="24"/>
  <c r="M145" i="24"/>
  <c r="N145" i="24" s="1"/>
  <c r="P145" i="24" s="1"/>
  <c r="BK145" i="24"/>
  <c r="K129" i="24"/>
  <c r="BK129" i="24"/>
  <c r="M203" i="24"/>
  <c r="N203" i="24" s="1"/>
  <c r="P203" i="24" s="1"/>
  <c r="BK203" i="24"/>
  <c r="M182" i="24"/>
  <c r="N182" i="24" s="1"/>
  <c r="P182" i="24" s="1"/>
  <c r="BK182" i="24"/>
  <c r="K160" i="24"/>
  <c r="BK160" i="24"/>
  <c r="K139" i="24"/>
  <c r="BK139" i="24"/>
  <c r="M207" i="24"/>
  <c r="N207" i="24" s="1"/>
  <c r="P207" i="24" s="1"/>
  <c r="BK207" i="24"/>
  <c r="M186" i="24"/>
  <c r="N186" i="24" s="1"/>
  <c r="P186" i="24" s="1"/>
  <c r="BK186" i="24"/>
  <c r="K164" i="24"/>
  <c r="BK164" i="24"/>
  <c r="K143" i="24"/>
  <c r="BK143" i="24"/>
  <c r="M112" i="24"/>
  <c r="N112" i="24" s="1"/>
  <c r="P112" i="24" s="1"/>
  <c r="BK112" i="24"/>
  <c r="K195" i="24"/>
  <c r="BK195" i="24"/>
  <c r="K174" i="24"/>
  <c r="BK174" i="24"/>
  <c r="M152" i="24"/>
  <c r="N152" i="24" s="1"/>
  <c r="P152" i="24" s="1"/>
  <c r="BK152" i="24"/>
  <c r="K127" i="24"/>
  <c r="BK127" i="24"/>
  <c r="K204" i="24"/>
  <c r="BK204" i="24"/>
  <c r="M183" i="24"/>
  <c r="N183" i="24" s="1"/>
  <c r="P183" i="24" s="1"/>
  <c r="BK183" i="24"/>
  <c r="M162" i="24"/>
  <c r="N162" i="24" s="1"/>
  <c r="P162" i="24" s="1"/>
  <c r="BK162" i="24"/>
  <c r="K140" i="24"/>
  <c r="BK140" i="24"/>
  <c r="K138" i="24"/>
  <c r="BK138" i="24"/>
  <c r="M122" i="24"/>
  <c r="N122" i="24" s="1"/>
  <c r="P122" i="24" s="1"/>
  <c r="BK122" i="24"/>
  <c r="M205" i="24"/>
  <c r="N205" i="24" s="1"/>
  <c r="P205" i="24" s="1"/>
  <c r="BK205" i="24"/>
  <c r="K189" i="24"/>
  <c r="BK189" i="24"/>
  <c r="K173" i="24"/>
  <c r="BK173" i="24"/>
  <c r="M157" i="24"/>
  <c r="N157" i="24" s="1"/>
  <c r="P157" i="24" s="1"/>
  <c r="BK157" i="24"/>
  <c r="K141" i="24"/>
  <c r="BK141" i="24"/>
  <c r="M125" i="24"/>
  <c r="N125" i="24" s="1"/>
  <c r="P125" i="24" s="1"/>
  <c r="BK125" i="24"/>
  <c r="N187" i="25"/>
  <c r="O187" i="25" s="1"/>
  <c r="Q187" i="25" s="1"/>
  <c r="L200" i="25"/>
  <c r="B249" i="2"/>
  <c r="L13" i="1"/>
  <c r="J5" i="24"/>
  <c r="O5" i="24"/>
  <c r="S216" i="24"/>
  <c r="T216" i="24" s="1"/>
  <c r="S110" i="24"/>
  <c r="T110" i="24" s="1"/>
  <c r="A28" i="16"/>
  <c r="P5" i="24"/>
  <c r="U5" i="24"/>
  <c r="T5" i="25"/>
  <c r="U5" i="25" s="1"/>
  <c r="N110" i="25"/>
  <c r="T110" i="25" s="1"/>
  <c r="U110" i="25" s="1"/>
  <c r="M110" i="24"/>
  <c r="BO5" i="25"/>
  <c r="L176" i="25"/>
  <c r="B245" i="2"/>
  <c r="D245" i="2" s="1"/>
  <c r="D34" i="16"/>
  <c r="L155" i="25"/>
  <c r="N149" i="25"/>
  <c r="O149" i="25" s="1"/>
  <c r="R149" i="25" s="1"/>
  <c r="N115" i="25"/>
  <c r="O115" i="25" s="1"/>
  <c r="R115" i="25" s="1"/>
  <c r="L172" i="25"/>
  <c r="N199" i="25"/>
  <c r="O199" i="25" s="1"/>
  <c r="R199" i="25" s="1"/>
  <c r="L124" i="25"/>
  <c r="N156" i="25"/>
  <c r="O156" i="25" s="1"/>
  <c r="R156" i="25" s="1"/>
  <c r="N114" i="25"/>
  <c r="O114" i="25" s="1"/>
  <c r="Q114" i="25" s="1"/>
  <c r="N130" i="25"/>
  <c r="O130" i="25" s="1"/>
  <c r="Q130" i="25" s="1"/>
  <c r="L195" i="25"/>
  <c r="N194" i="25"/>
  <c r="O194" i="25" s="1"/>
  <c r="R194" i="25" s="1"/>
  <c r="L162" i="25"/>
  <c r="L151" i="25"/>
  <c r="N143" i="25"/>
  <c r="O143" i="25" s="1"/>
  <c r="Q143" i="25" s="1"/>
  <c r="L145" i="25"/>
  <c r="O9" i="25"/>
  <c r="R9" i="25" s="1"/>
  <c r="O10" i="25"/>
  <c r="Q10" i="25" s="1"/>
  <c r="O80" i="25"/>
  <c r="Q80" i="25" s="1"/>
  <c r="O53" i="25"/>
  <c r="R53" i="25" s="1"/>
  <c r="L113" i="25"/>
  <c r="N161" i="25"/>
  <c r="O161" i="25" s="1"/>
  <c r="Q161" i="25" s="1"/>
  <c r="W42" i="2"/>
  <c r="W43" i="2" s="1"/>
  <c r="R43" i="2"/>
  <c r="N111" i="25"/>
  <c r="O111" i="25" s="1"/>
  <c r="R111" i="25" s="1"/>
  <c r="N159" i="25"/>
  <c r="O159" i="25" s="1"/>
  <c r="R159" i="25" s="1"/>
  <c r="L133" i="25"/>
  <c r="L197" i="25"/>
  <c r="N140" i="25"/>
  <c r="O140" i="25" s="1"/>
  <c r="R140" i="25" s="1"/>
  <c r="N178" i="25"/>
  <c r="O178" i="25" s="1"/>
  <c r="Q178" i="25" s="1"/>
  <c r="N210" i="25"/>
  <c r="O210" i="25" s="1"/>
  <c r="Q210" i="25" s="1"/>
  <c r="L146" i="25"/>
  <c r="L204" i="25"/>
  <c r="L117" i="25"/>
  <c r="L165" i="25"/>
  <c r="L188" i="25"/>
  <c r="L181" i="25"/>
  <c r="L184" i="25"/>
  <c r="L177" i="25"/>
  <c r="N193" i="25"/>
  <c r="O193" i="25" s="1"/>
  <c r="Q193" i="25" s="1"/>
  <c r="N147" i="25"/>
  <c r="O147" i="25" s="1"/>
  <c r="R147" i="25" s="1"/>
  <c r="L139" i="25"/>
  <c r="L142" i="25"/>
  <c r="L183" i="25"/>
  <c r="N168" i="25"/>
  <c r="O168" i="25" s="1"/>
  <c r="Q168" i="25" s="1"/>
  <c r="N174" i="25"/>
  <c r="O174" i="25" s="1"/>
  <c r="Q174" i="25" s="1"/>
  <c r="O57" i="25"/>
  <c r="R57" i="25" s="1"/>
  <c r="O89" i="25"/>
  <c r="R89" i="25" s="1"/>
  <c r="O172" i="25"/>
  <c r="R172" i="25" s="1"/>
  <c r="O94" i="25"/>
  <c r="R94" i="25" s="1"/>
  <c r="O55" i="25"/>
  <c r="Q55" i="25" s="1"/>
  <c r="O65" i="25"/>
  <c r="Q65" i="25" s="1"/>
  <c r="O12" i="25"/>
  <c r="R12" i="25" s="1"/>
  <c r="O104" i="25"/>
  <c r="Q104" i="25" s="1"/>
  <c r="O155" i="25"/>
  <c r="Q155" i="25" s="1"/>
  <c r="O13" i="25"/>
  <c r="R13" i="25" s="1"/>
  <c r="O165" i="25"/>
  <c r="R165" i="25" s="1"/>
  <c r="O32" i="25"/>
  <c r="Q32" i="25" s="1"/>
  <c r="O52" i="25"/>
  <c r="Q52" i="25" s="1"/>
  <c r="O18" i="25"/>
  <c r="R18" i="25" s="1"/>
  <c r="O31" i="25"/>
  <c r="Q31" i="25" s="1"/>
  <c r="O59" i="25"/>
  <c r="Q59" i="25" s="1"/>
  <c r="O93" i="25"/>
  <c r="Q93" i="25" s="1"/>
  <c r="R44" i="2"/>
  <c r="B26" i="2"/>
  <c r="O113" i="25"/>
  <c r="Q113" i="25" s="1"/>
  <c r="L118" i="25"/>
  <c r="N175" i="25"/>
  <c r="O175" i="25" s="1"/>
  <c r="R175" i="25" s="1"/>
  <c r="L148" i="25"/>
  <c r="L122" i="25"/>
  <c r="N136" i="25"/>
  <c r="O136" i="25" s="1"/>
  <c r="R136" i="25" s="1"/>
  <c r="L180" i="25"/>
  <c r="N120" i="25"/>
  <c r="O120" i="25" s="1"/>
  <c r="R120" i="25" s="1"/>
  <c r="L163" i="25"/>
  <c r="N129" i="25"/>
  <c r="O129" i="25" s="1"/>
  <c r="Q129" i="25" s="1"/>
  <c r="N119" i="25"/>
  <c r="O119" i="25" s="1"/>
  <c r="Q119" i="25" s="1"/>
  <c r="L128" i="25"/>
  <c r="L158" i="25"/>
  <c r="L152" i="25"/>
  <c r="N191" i="25"/>
  <c r="O191" i="25" s="1"/>
  <c r="R191" i="25" s="1"/>
  <c r="N192" i="25"/>
  <c r="O192" i="25" s="1"/>
  <c r="R192" i="25" s="1"/>
  <c r="N185" i="25"/>
  <c r="O185" i="25" s="1"/>
  <c r="Q185" i="25" s="1"/>
  <c r="N166" i="25"/>
  <c r="O166" i="25" s="1"/>
  <c r="Q166" i="25" s="1"/>
  <c r="L203" i="25"/>
  <c r="N167" i="25"/>
  <c r="O167" i="25" s="1"/>
  <c r="R167" i="25" s="1"/>
  <c r="L207" i="25"/>
  <c r="N209" i="25"/>
  <c r="O209" i="25" s="1"/>
  <c r="Q209" i="25" s="1"/>
  <c r="L126" i="25"/>
  <c r="N206" i="25"/>
  <c r="O206" i="25" s="1"/>
  <c r="Q206" i="25" s="1"/>
  <c r="N160" i="25"/>
  <c r="O160" i="25" s="1"/>
  <c r="R160" i="25" s="1"/>
  <c r="N153" i="25"/>
  <c r="O153" i="25" s="1"/>
  <c r="Q153" i="25" s="1"/>
  <c r="N134" i="25"/>
  <c r="O134" i="25" s="1"/>
  <c r="Q134" i="25" s="1"/>
  <c r="N198" i="25"/>
  <c r="O198" i="25" s="1"/>
  <c r="R198" i="25" s="1"/>
  <c r="N201" i="25"/>
  <c r="O201" i="25" s="1"/>
  <c r="R201" i="25" s="1"/>
  <c r="N112" i="25"/>
  <c r="O112" i="25" s="1"/>
  <c r="R112" i="25" s="1"/>
  <c r="L121" i="25"/>
  <c r="N123" i="25"/>
  <c r="O123" i="25" s="1"/>
  <c r="L150" i="25"/>
  <c r="N144" i="25"/>
  <c r="O144" i="25" s="1"/>
  <c r="Q144" i="25" s="1"/>
  <c r="N137" i="25"/>
  <c r="O137" i="25" s="1"/>
  <c r="R137" i="25" s="1"/>
  <c r="N169" i="25"/>
  <c r="O169" i="25" s="1"/>
  <c r="Q169" i="25" s="1"/>
  <c r="N182" i="25"/>
  <c r="O182" i="25" s="1"/>
  <c r="R182" i="25" s="1"/>
  <c r="L208" i="25"/>
  <c r="L190" i="25"/>
  <c r="L127" i="25"/>
  <c r="N116" i="25"/>
  <c r="O116" i="25" s="1"/>
  <c r="Q116" i="25" s="1"/>
  <c r="O87" i="25"/>
  <c r="Q87" i="25" s="1"/>
  <c r="O29" i="25"/>
  <c r="R29" i="25" s="1"/>
  <c r="O64" i="25"/>
  <c r="R64" i="25" s="1"/>
  <c r="O35" i="25"/>
  <c r="R35" i="25" s="1"/>
  <c r="O62" i="25"/>
  <c r="R62" i="25" s="1"/>
  <c r="O81" i="25"/>
  <c r="R81" i="25" s="1"/>
  <c r="O72" i="25"/>
  <c r="Q72" i="25" s="1"/>
  <c r="O22" i="25"/>
  <c r="Q22" i="25" s="1"/>
  <c r="O82" i="25"/>
  <c r="Q82" i="25" s="1"/>
  <c r="O63" i="25"/>
  <c r="R63" i="25" s="1"/>
  <c r="O41" i="25"/>
  <c r="Q41" i="25" s="1"/>
  <c r="O67" i="25"/>
  <c r="R67" i="25" s="1"/>
  <c r="O86" i="25"/>
  <c r="Q86" i="25" s="1"/>
  <c r="O44" i="25"/>
  <c r="Q44" i="25" s="1"/>
  <c r="O79" i="25"/>
  <c r="R79" i="25" s="1"/>
  <c r="O100" i="25"/>
  <c r="Q100" i="25" s="1"/>
  <c r="O90" i="25"/>
  <c r="Q90" i="25" s="1"/>
  <c r="O58" i="25"/>
  <c r="Q58" i="25" s="1"/>
  <c r="O30" i="25"/>
  <c r="R30" i="25" s="1"/>
  <c r="O73" i="25"/>
  <c r="R73" i="25" s="1"/>
  <c r="O15" i="25"/>
  <c r="Q15" i="25" s="1"/>
  <c r="O25" i="25"/>
  <c r="R25" i="25" s="1"/>
  <c r="O163" i="25"/>
  <c r="Q163" i="25" s="1"/>
  <c r="O24" i="25"/>
  <c r="R24" i="25" s="1"/>
  <c r="O6" i="25"/>
  <c r="Q6" i="25" s="1"/>
  <c r="O88" i="25"/>
  <c r="Q88" i="25" s="1"/>
  <c r="O47" i="25"/>
  <c r="Q47" i="25" s="1"/>
  <c r="O16" i="25"/>
  <c r="R16" i="25" s="1"/>
  <c r="O85" i="25"/>
  <c r="Q85" i="25" s="1"/>
  <c r="O60" i="25"/>
  <c r="R60" i="25" s="1"/>
  <c r="O61" i="25"/>
  <c r="R61" i="25" s="1"/>
  <c r="O49" i="25"/>
  <c r="R49" i="25" s="1"/>
  <c r="O8" i="25"/>
  <c r="Q8" i="25" s="1"/>
  <c r="O40" i="25"/>
  <c r="Q40" i="25" s="1"/>
  <c r="O76" i="25"/>
  <c r="Q76" i="25" s="1"/>
  <c r="O26" i="25"/>
  <c r="Q26" i="25" s="1"/>
  <c r="O71" i="25"/>
  <c r="R71" i="25" s="1"/>
  <c r="O69" i="25"/>
  <c r="Q69" i="25" s="1"/>
  <c r="O101" i="25"/>
  <c r="R101" i="25" s="1"/>
  <c r="O21" i="25"/>
  <c r="Q21" i="25" s="1"/>
  <c r="O50" i="25"/>
  <c r="R50" i="25" s="1"/>
  <c r="O99" i="25"/>
  <c r="R99" i="25" s="1"/>
  <c r="O23" i="25"/>
  <c r="Q23" i="25" s="1"/>
  <c r="O51" i="25"/>
  <c r="Q51" i="25" s="1"/>
  <c r="O83" i="25"/>
  <c r="Q83" i="25" s="1"/>
  <c r="O96" i="25"/>
  <c r="Q96" i="25" s="1"/>
  <c r="O131" i="25"/>
  <c r="Q131" i="25" s="1"/>
  <c r="O171" i="25"/>
  <c r="R171" i="25" s="1"/>
  <c r="O141" i="25"/>
  <c r="R141" i="25" s="1"/>
  <c r="O189" i="25"/>
  <c r="R189" i="25" s="1"/>
  <c r="O91" i="25"/>
  <c r="Q91" i="25" s="1"/>
  <c r="O43" i="25"/>
  <c r="Q43" i="25" s="1"/>
  <c r="O38" i="25"/>
  <c r="Q38" i="25" s="1"/>
  <c r="O70" i="25"/>
  <c r="Q70" i="25" s="1"/>
  <c r="O39" i="25"/>
  <c r="R39" i="25" s="1"/>
  <c r="O37" i="25"/>
  <c r="R37" i="25" s="1"/>
  <c r="O195" i="25"/>
  <c r="Q195" i="25" s="1"/>
  <c r="O36" i="25"/>
  <c r="Q36" i="25" s="1"/>
  <c r="O84" i="25"/>
  <c r="Q84" i="25" s="1"/>
  <c r="O184" i="25"/>
  <c r="Q184" i="25" s="1"/>
  <c r="O75" i="25"/>
  <c r="Q75" i="25" s="1"/>
  <c r="O19" i="25"/>
  <c r="R19" i="25" s="1"/>
  <c r="O74" i="25"/>
  <c r="Q74" i="25" s="1"/>
  <c r="O46" i="25"/>
  <c r="R46" i="25" s="1"/>
  <c r="O48" i="25"/>
  <c r="R48" i="25" s="1"/>
  <c r="O105" i="25"/>
  <c r="Q105" i="25" s="1"/>
  <c r="O45" i="25"/>
  <c r="Q45" i="25" s="1"/>
  <c r="O7" i="25"/>
  <c r="R7" i="25" s="1"/>
  <c r="O33" i="25"/>
  <c r="Q33" i="25" s="1"/>
  <c r="O28" i="25"/>
  <c r="Q28" i="25" s="1"/>
  <c r="O54" i="25"/>
  <c r="Q54" i="25" s="1"/>
  <c r="O68" i="25"/>
  <c r="R68" i="25" s="1"/>
  <c r="O42" i="25"/>
  <c r="R42" i="25" s="1"/>
  <c r="O92" i="25"/>
  <c r="Q92" i="25" s="1"/>
  <c r="O103" i="25"/>
  <c r="Q103" i="25" s="1"/>
  <c r="O14" i="25"/>
  <c r="Q14" i="25" s="1"/>
  <c r="O27" i="25"/>
  <c r="R27" i="25" s="1"/>
  <c r="O66" i="25"/>
  <c r="R66" i="25" s="1"/>
  <c r="O11" i="25"/>
  <c r="Q11" i="25" s="1"/>
  <c r="O17" i="25"/>
  <c r="R17" i="25" s="1"/>
  <c r="O77" i="25"/>
  <c r="Q77" i="25" s="1"/>
  <c r="O20" i="25"/>
  <c r="R20" i="25" s="1"/>
  <c r="O56" i="25"/>
  <c r="Q56" i="25" s="1"/>
  <c r="O97" i="25"/>
  <c r="Q97" i="25" s="1"/>
  <c r="O98" i="25"/>
  <c r="R98" i="25" s="1"/>
  <c r="O126" i="25"/>
  <c r="R126" i="25" s="1"/>
  <c r="O162" i="25"/>
  <c r="Q162" i="25" s="1"/>
  <c r="O102" i="25"/>
  <c r="R102" i="25" s="1"/>
  <c r="O190" i="25"/>
  <c r="Q190" i="25" s="1"/>
  <c r="O95" i="25"/>
  <c r="R95" i="25" s="1"/>
  <c r="O34" i="25"/>
  <c r="R34" i="25" s="1"/>
  <c r="O78" i="25"/>
  <c r="Q78" i="25" s="1"/>
  <c r="L171" i="25"/>
  <c r="L110" i="25"/>
  <c r="L141" i="25"/>
  <c r="L173" i="25"/>
  <c r="L205" i="25"/>
  <c r="N154" i="25"/>
  <c r="O154" i="25" s="1"/>
  <c r="Q154" i="25" s="1"/>
  <c r="N186" i="25"/>
  <c r="O186" i="25" s="1"/>
  <c r="Q186" i="25" s="1"/>
  <c r="N179" i="25"/>
  <c r="O179" i="25" s="1"/>
  <c r="Q179" i="25" s="1"/>
  <c r="L138" i="25"/>
  <c r="L170" i="25"/>
  <c r="L202" i="25"/>
  <c r="N135" i="25"/>
  <c r="O135" i="25" s="1"/>
  <c r="R135" i="25" s="1"/>
  <c r="L131" i="25"/>
  <c r="L125" i="25"/>
  <c r="L157" i="25"/>
  <c r="L189" i="25"/>
  <c r="N132" i="25"/>
  <c r="O132" i="25" s="1"/>
  <c r="Q132" i="25" s="1"/>
  <c r="N164" i="25"/>
  <c r="O164" i="25" s="1"/>
  <c r="Q164" i="25" s="1"/>
  <c r="N196" i="25"/>
  <c r="O196" i="25" s="1"/>
  <c r="Q196" i="25" s="1"/>
  <c r="I9" i="19"/>
  <c r="I8" i="19"/>
  <c r="I7" i="19"/>
  <c r="I6" i="19"/>
  <c r="N238" i="25"/>
  <c r="O238" i="25" s="1"/>
  <c r="L238" i="25"/>
  <c r="N242" i="25"/>
  <c r="O242" i="25" s="1"/>
  <c r="L242" i="25"/>
  <c r="N246" i="25"/>
  <c r="O246" i="25" s="1"/>
  <c r="L246" i="25"/>
  <c r="N234" i="25"/>
  <c r="O234" i="25" s="1"/>
  <c r="L234" i="25"/>
  <c r="N286" i="25"/>
  <c r="O286" i="25" s="1"/>
  <c r="L286" i="25"/>
  <c r="N302" i="25"/>
  <c r="O302" i="25" s="1"/>
  <c r="L302" i="25"/>
  <c r="N216" i="25"/>
  <c r="L216" i="25"/>
  <c r="N231" i="25"/>
  <c r="O231" i="25" s="1"/>
  <c r="L231" i="25"/>
  <c r="L247" i="25"/>
  <c r="N247" i="25"/>
  <c r="O247" i="25" s="1"/>
  <c r="L263" i="25"/>
  <c r="N263" i="25"/>
  <c r="O263" i="25" s="1"/>
  <c r="L279" i="25"/>
  <c r="N279" i="25"/>
  <c r="O279" i="25" s="1"/>
  <c r="L295" i="25"/>
  <c r="N295" i="25"/>
  <c r="O295" i="25" s="1"/>
  <c r="N311" i="25"/>
  <c r="O311" i="25" s="1"/>
  <c r="L311" i="25"/>
  <c r="L228" i="25"/>
  <c r="N228" i="25"/>
  <c r="O228" i="25" s="1"/>
  <c r="L244" i="25"/>
  <c r="N244" i="25"/>
  <c r="O244" i="25" s="1"/>
  <c r="L260" i="25"/>
  <c r="N260" i="25"/>
  <c r="O260" i="25" s="1"/>
  <c r="N276" i="25"/>
  <c r="O276" i="25" s="1"/>
  <c r="L276" i="25"/>
  <c r="L292" i="25"/>
  <c r="N292" i="25"/>
  <c r="O292" i="25" s="1"/>
  <c r="N308" i="25"/>
  <c r="O308" i="25" s="1"/>
  <c r="L308" i="25"/>
  <c r="N221" i="25"/>
  <c r="O221" i="25" s="1"/>
  <c r="L221" i="25"/>
  <c r="L237" i="25"/>
  <c r="N237" i="25"/>
  <c r="O237" i="25" s="1"/>
  <c r="L253" i="25"/>
  <c r="N253" i="25"/>
  <c r="O253" i="25" s="1"/>
  <c r="L269" i="25"/>
  <c r="N269" i="25"/>
  <c r="O269" i="25" s="1"/>
  <c r="N285" i="25"/>
  <c r="O285" i="25" s="1"/>
  <c r="L285" i="25"/>
  <c r="L301" i="25"/>
  <c r="N301" i="25"/>
  <c r="O301" i="25" s="1"/>
  <c r="N254" i="25"/>
  <c r="O254" i="25" s="1"/>
  <c r="L254" i="25"/>
  <c r="N258" i="25"/>
  <c r="O258" i="25" s="1"/>
  <c r="L258" i="25"/>
  <c r="N262" i="25"/>
  <c r="O262" i="25" s="1"/>
  <c r="L262" i="25"/>
  <c r="N250" i="25"/>
  <c r="O250" i="25" s="1"/>
  <c r="L250" i="25"/>
  <c r="N290" i="25"/>
  <c r="O290" i="25" s="1"/>
  <c r="L290" i="25"/>
  <c r="N306" i="25"/>
  <c r="O306" i="25" s="1"/>
  <c r="L306" i="25"/>
  <c r="L219" i="25"/>
  <c r="N219" i="25"/>
  <c r="O219" i="25" s="1"/>
  <c r="L235" i="25"/>
  <c r="N235" i="25"/>
  <c r="O235" i="25" s="1"/>
  <c r="L251" i="25"/>
  <c r="N251" i="25"/>
  <c r="O251" i="25" s="1"/>
  <c r="L267" i="25"/>
  <c r="N267" i="25"/>
  <c r="O267" i="25" s="1"/>
  <c r="N283" i="25"/>
  <c r="O283" i="25" s="1"/>
  <c r="L283" i="25"/>
  <c r="N299" i="25"/>
  <c r="O299" i="25" s="1"/>
  <c r="L299" i="25"/>
  <c r="N315" i="25"/>
  <c r="O315" i="25" s="1"/>
  <c r="L315" i="25"/>
  <c r="N232" i="25"/>
  <c r="O232" i="25" s="1"/>
  <c r="L232" i="25"/>
  <c r="N248" i="25"/>
  <c r="O248" i="25" s="1"/>
  <c r="L248" i="25"/>
  <c r="N264" i="25"/>
  <c r="O264" i="25" s="1"/>
  <c r="L264" i="25"/>
  <c r="N280" i="25"/>
  <c r="O280" i="25" s="1"/>
  <c r="L280" i="25"/>
  <c r="L296" i="25"/>
  <c r="N296" i="25"/>
  <c r="O296" i="25" s="1"/>
  <c r="N312" i="25"/>
  <c r="O312" i="25" s="1"/>
  <c r="L312" i="25"/>
  <c r="N225" i="25"/>
  <c r="O225" i="25" s="1"/>
  <c r="L225" i="25"/>
  <c r="N241" i="25"/>
  <c r="O241" i="25" s="1"/>
  <c r="L241" i="25"/>
  <c r="N257" i="25"/>
  <c r="O257" i="25" s="1"/>
  <c r="L257" i="25"/>
  <c r="N273" i="25"/>
  <c r="O273" i="25" s="1"/>
  <c r="L273" i="25"/>
  <c r="N289" i="25"/>
  <c r="O289" i="25" s="1"/>
  <c r="L289" i="25"/>
  <c r="L305" i="25"/>
  <c r="N305" i="25"/>
  <c r="O305" i="25" s="1"/>
  <c r="N270" i="25"/>
  <c r="O270" i="25" s="1"/>
  <c r="L270" i="25"/>
  <c r="L274" i="25"/>
  <c r="N274" i="25"/>
  <c r="O274" i="25" s="1"/>
  <c r="N278" i="25"/>
  <c r="O278" i="25" s="1"/>
  <c r="L278" i="25"/>
  <c r="N266" i="25"/>
  <c r="O266" i="25" s="1"/>
  <c r="L266" i="25"/>
  <c r="N294" i="25"/>
  <c r="O294" i="25" s="1"/>
  <c r="L294" i="25"/>
  <c r="L310" i="25"/>
  <c r="N310" i="25"/>
  <c r="O310" i="25" s="1"/>
  <c r="L223" i="25"/>
  <c r="N223" i="25"/>
  <c r="O223" i="25" s="1"/>
  <c r="L239" i="25"/>
  <c r="N239" i="25"/>
  <c r="O239" i="25" s="1"/>
  <c r="L255" i="25"/>
  <c r="N255" i="25"/>
  <c r="O255" i="25" s="1"/>
  <c r="L271" i="25"/>
  <c r="N271" i="25"/>
  <c r="O271" i="25" s="1"/>
  <c r="L287" i="25"/>
  <c r="N287" i="25"/>
  <c r="O287" i="25" s="1"/>
  <c r="L303" i="25"/>
  <c r="N303" i="25"/>
  <c r="O303" i="25" s="1"/>
  <c r="N220" i="25"/>
  <c r="O220" i="25" s="1"/>
  <c r="L220" i="25"/>
  <c r="N236" i="25"/>
  <c r="O236" i="25" s="1"/>
  <c r="L236" i="25"/>
  <c r="N252" i="25"/>
  <c r="O252" i="25" s="1"/>
  <c r="L252" i="25"/>
  <c r="N268" i="25"/>
  <c r="O268" i="25" s="1"/>
  <c r="L268" i="25"/>
  <c r="N284" i="25"/>
  <c r="O284" i="25" s="1"/>
  <c r="L284" i="25"/>
  <c r="L300" i="25"/>
  <c r="N300" i="25"/>
  <c r="O300" i="25" s="1"/>
  <c r="N316" i="25"/>
  <c r="O316" i="25" s="1"/>
  <c r="L316" i="25"/>
  <c r="N229" i="25"/>
  <c r="O229" i="25" s="1"/>
  <c r="L229" i="25"/>
  <c r="N245" i="25"/>
  <c r="O245" i="25" s="1"/>
  <c r="L245" i="25"/>
  <c r="N261" i="25"/>
  <c r="O261" i="25" s="1"/>
  <c r="L261" i="25"/>
  <c r="L277" i="25"/>
  <c r="N277" i="25"/>
  <c r="O277" i="25" s="1"/>
  <c r="N293" i="25"/>
  <c r="O293" i="25" s="1"/>
  <c r="L293" i="25"/>
  <c r="L309" i="25"/>
  <c r="N309" i="25"/>
  <c r="O309" i="25" s="1"/>
  <c r="L222" i="25"/>
  <c r="N222" i="25"/>
  <c r="O222" i="25" s="1"/>
  <c r="L226" i="25"/>
  <c r="N226" i="25"/>
  <c r="O226" i="25" s="1"/>
  <c r="L230" i="25"/>
  <c r="N230" i="25"/>
  <c r="O230" i="25" s="1"/>
  <c r="L218" i="25"/>
  <c r="N218" i="25"/>
  <c r="O218" i="25" s="1"/>
  <c r="N282" i="25"/>
  <c r="O282" i="25" s="1"/>
  <c r="L282" i="25"/>
  <c r="N298" i="25"/>
  <c r="O298" i="25" s="1"/>
  <c r="L298" i="25"/>
  <c r="N314" i="25"/>
  <c r="O314" i="25" s="1"/>
  <c r="L314" i="25"/>
  <c r="N227" i="25"/>
  <c r="O227" i="25" s="1"/>
  <c r="L227" i="25"/>
  <c r="L243" i="25"/>
  <c r="N243" i="25"/>
  <c r="O243" i="25" s="1"/>
  <c r="L259" i="25"/>
  <c r="N259" i="25"/>
  <c r="O259" i="25" s="1"/>
  <c r="N275" i="25"/>
  <c r="O275" i="25" s="1"/>
  <c r="L275" i="25"/>
  <c r="L291" i="25"/>
  <c r="N291" i="25"/>
  <c r="O291" i="25" s="1"/>
  <c r="N307" i="25"/>
  <c r="O307" i="25" s="1"/>
  <c r="L307" i="25"/>
  <c r="N224" i="25"/>
  <c r="O224" i="25" s="1"/>
  <c r="L224" i="25"/>
  <c r="L240" i="25"/>
  <c r="N240" i="25"/>
  <c r="O240" i="25" s="1"/>
  <c r="L256" i="25"/>
  <c r="N256" i="25"/>
  <c r="O256" i="25" s="1"/>
  <c r="N272" i="25"/>
  <c r="O272" i="25" s="1"/>
  <c r="L272" i="25"/>
  <c r="N288" i="25"/>
  <c r="O288" i="25" s="1"/>
  <c r="L288" i="25"/>
  <c r="L304" i="25"/>
  <c r="N304" i="25"/>
  <c r="O304" i="25" s="1"/>
  <c r="N217" i="25"/>
  <c r="O217" i="25" s="1"/>
  <c r="L217" i="25"/>
  <c r="N233" i="25"/>
  <c r="O233" i="25" s="1"/>
  <c r="L233" i="25"/>
  <c r="N249" i="25"/>
  <c r="O249" i="25" s="1"/>
  <c r="L249" i="25"/>
  <c r="N265" i="25"/>
  <c r="O265" i="25" s="1"/>
  <c r="L265" i="25"/>
  <c r="N281" i="25"/>
  <c r="O281" i="25" s="1"/>
  <c r="L281" i="25"/>
  <c r="N297" i="25"/>
  <c r="O297" i="25" s="1"/>
  <c r="L297" i="25"/>
  <c r="L313" i="25"/>
  <c r="N313" i="25"/>
  <c r="O313" i="25" s="1"/>
  <c r="F314" i="25"/>
  <c r="F310" i="25"/>
  <c r="F306" i="25"/>
  <c r="F304" i="25"/>
  <c r="F303" i="25"/>
  <c r="F302" i="25"/>
  <c r="F301" i="25"/>
  <c r="F315" i="25"/>
  <c r="F311" i="25"/>
  <c r="F307" i="25"/>
  <c r="F305" i="25"/>
  <c r="F300" i="25"/>
  <c r="F296" i="25"/>
  <c r="F292" i="25"/>
  <c r="F288" i="25"/>
  <c r="F284" i="25"/>
  <c r="F313" i="25"/>
  <c r="F312" i="25"/>
  <c r="F297" i="25"/>
  <c r="F293" i="25"/>
  <c r="F289" i="25"/>
  <c r="F285" i="25"/>
  <c r="F281" i="25"/>
  <c r="F279" i="25"/>
  <c r="F275" i="25"/>
  <c r="F271" i="25"/>
  <c r="F316" i="25"/>
  <c r="F309" i="25"/>
  <c r="F280" i="25"/>
  <c r="F276" i="25"/>
  <c r="F272" i="25"/>
  <c r="F294" i="25"/>
  <c r="F286" i="25"/>
  <c r="F265" i="25"/>
  <c r="F261" i="25"/>
  <c r="F257" i="25"/>
  <c r="F253" i="25"/>
  <c r="F249" i="25"/>
  <c r="F245" i="25"/>
  <c r="F241" i="25"/>
  <c r="F237" i="25"/>
  <c r="F233" i="25"/>
  <c r="F208" i="25"/>
  <c r="F204" i="25"/>
  <c r="F200" i="25"/>
  <c r="F299" i="25"/>
  <c r="F291" i="25"/>
  <c r="F283" i="25"/>
  <c r="F266" i="25"/>
  <c r="F262" i="25"/>
  <c r="F258" i="25"/>
  <c r="F254" i="25"/>
  <c r="F250" i="25"/>
  <c r="F246" i="25"/>
  <c r="F242" i="25"/>
  <c r="F238" i="25"/>
  <c r="F234" i="25"/>
  <c r="F207" i="25"/>
  <c r="F203" i="25"/>
  <c r="F308" i="25"/>
  <c r="F298" i="25"/>
  <c r="F282" i="25"/>
  <c r="F228" i="25"/>
  <c r="F224" i="25"/>
  <c r="F220" i="25"/>
  <c r="F210" i="25"/>
  <c r="F209" i="25"/>
  <c r="F206" i="25"/>
  <c r="F205" i="25"/>
  <c r="F202" i="25"/>
  <c r="F201" i="25"/>
  <c r="F199" i="25"/>
  <c r="F195" i="25"/>
  <c r="F191" i="25"/>
  <c r="F187" i="25"/>
  <c r="F183" i="25"/>
  <c r="F179" i="25"/>
  <c r="F175" i="25"/>
  <c r="F171" i="25"/>
  <c r="F167" i="25"/>
  <c r="F163" i="25"/>
  <c r="F159" i="25"/>
  <c r="F155" i="25"/>
  <c r="F151" i="25"/>
  <c r="F147" i="25"/>
  <c r="F143" i="25"/>
  <c r="F139" i="25"/>
  <c r="F135" i="25"/>
  <c r="F131" i="25"/>
  <c r="F287" i="25"/>
  <c r="F278" i="25"/>
  <c r="F274" i="25"/>
  <c r="F270" i="25"/>
  <c r="F268" i="25"/>
  <c r="F267" i="25"/>
  <c r="F264" i="25"/>
  <c r="F263" i="25"/>
  <c r="F260" i="25"/>
  <c r="F259" i="25"/>
  <c r="F256" i="25"/>
  <c r="F255" i="25"/>
  <c r="F252" i="25"/>
  <c r="F251" i="25"/>
  <c r="F248" i="25"/>
  <c r="F247" i="25"/>
  <c r="F244" i="25"/>
  <c r="F243" i="25"/>
  <c r="F240" i="25"/>
  <c r="F239" i="25"/>
  <c r="F236" i="25"/>
  <c r="F235" i="25"/>
  <c r="F232" i="25"/>
  <c r="F229" i="25"/>
  <c r="F225" i="25"/>
  <c r="F221" i="25"/>
  <c r="F217" i="25"/>
  <c r="F198" i="25"/>
  <c r="F194" i="25"/>
  <c r="F190" i="25"/>
  <c r="F186" i="25"/>
  <c r="F182" i="25"/>
  <c r="F178" i="25"/>
  <c r="F174" i="25"/>
  <c r="F170" i="25"/>
  <c r="F166" i="25"/>
  <c r="F162" i="25"/>
  <c r="F158" i="25"/>
  <c r="F154" i="25"/>
  <c r="F150" i="25"/>
  <c r="F146" i="25"/>
  <c r="F142" i="25"/>
  <c r="F138" i="25"/>
  <c r="F134" i="25"/>
  <c r="F130" i="25"/>
  <c r="F197" i="25"/>
  <c r="F196" i="25"/>
  <c r="F193" i="25"/>
  <c r="F192" i="25"/>
  <c r="F189" i="25"/>
  <c r="F188" i="25"/>
  <c r="F185" i="25"/>
  <c r="F184" i="25"/>
  <c r="F181" i="25"/>
  <c r="F180" i="25"/>
  <c r="F177" i="25"/>
  <c r="F176" i="25"/>
  <c r="F173" i="25"/>
  <c r="F172" i="25"/>
  <c r="F169" i="25"/>
  <c r="F168" i="25"/>
  <c r="F165" i="25"/>
  <c r="F164" i="25"/>
  <c r="F161" i="25"/>
  <c r="F160" i="25"/>
  <c r="F157" i="25"/>
  <c r="F156" i="25"/>
  <c r="F153" i="25"/>
  <c r="F152" i="25"/>
  <c r="F149" i="25"/>
  <c r="F148" i="25"/>
  <c r="F145" i="25"/>
  <c r="F144" i="25"/>
  <c r="F141" i="25"/>
  <c r="F140" i="25"/>
  <c r="F137" i="25"/>
  <c r="F136" i="25"/>
  <c r="F133" i="25"/>
  <c r="F132" i="25"/>
  <c r="F129" i="25"/>
  <c r="F128" i="25"/>
  <c r="F127" i="25"/>
  <c r="F123" i="25"/>
  <c r="F119" i="25"/>
  <c r="F115" i="25"/>
  <c r="F111" i="25"/>
  <c r="F105" i="25"/>
  <c r="F104" i="25"/>
  <c r="F103" i="25"/>
  <c r="F102" i="25"/>
  <c r="F101" i="25"/>
  <c r="F100" i="25"/>
  <c r="F99" i="25"/>
  <c r="F98" i="25"/>
  <c r="F97" i="25"/>
  <c r="F96" i="25"/>
  <c r="F95" i="25"/>
  <c r="F94" i="25"/>
  <c r="F93" i="25"/>
  <c r="F92" i="25"/>
  <c r="F91" i="25"/>
  <c r="F290" i="25"/>
  <c r="F277" i="25"/>
  <c r="F273" i="25"/>
  <c r="F269" i="25"/>
  <c r="F231" i="25"/>
  <c r="F230" i="25"/>
  <c r="F227" i="25"/>
  <c r="F226" i="25"/>
  <c r="F223" i="25"/>
  <c r="F222" i="25"/>
  <c r="F219" i="25"/>
  <c r="F218" i="25"/>
  <c r="F126" i="25"/>
  <c r="F122" i="25"/>
  <c r="F118" i="25"/>
  <c r="F114" i="25"/>
  <c r="F295" i="25"/>
  <c r="F87" i="25"/>
  <c r="F83" i="25"/>
  <c r="F79" i="25"/>
  <c r="F75" i="25"/>
  <c r="F71" i="25"/>
  <c r="F67" i="25"/>
  <c r="F63" i="25"/>
  <c r="F59" i="25"/>
  <c r="F55" i="25"/>
  <c r="F51" i="25"/>
  <c r="F47" i="25"/>
  <c r="F43" i="25"/>
  <c r="F39" i="25"/>
  <c r="F31" i="25"/>
  <c r="F27" i="25"/>
  <c r="F23" i="25"/>
  <c r="F19" i="25"/>
  <c r="F15" i="25"/>
  <c r="F125" i="25"/>
  <c r="F117" i="25"/>
  <c r="F113" i="25"/>
  <c r="F85" i="25"/>
  <c r="F77" i="25"/>
  <c r="F73" i="25"/>
  <c r="F65" i="25"/>
  <c r="F61" i="25"/>
  <c r="F57" i="25"/>
  <c r="F49" i="25"/>
  <c r="F33" i="25"/>
  <c r="F29" i="25"/>
  <c r="F25" i="25"/>
  <c r="F17" i="25"/>
  <c r="F13" i="25"/>
  <c r="F11" i="25"/>
  <c r="F10" i="25"/>
  <c r="F9" i="25"/>
  <c r="F8" i="25"/>
  <c r="F124" i="25"/>
  <c r="F120" i="25"/>
  <c r="F116" i="25"/>
  <c r="F112" i="25"/>
  <c r="F90" i="25"/>
  <c r="F86" i="25"/>
  <c r="F82" i="25"/>
  <c r="F78" i="25"/>
  <c r="F74" i="25"/>
  <c r="F70" i="25"/>
  <c r="F66" i="25"/>
  <c r="F62" i="25"/>
  <c r="F54" i="25"/>
  <c r="F88" i="25"/>
  <c r="F84" i="25"/>
  <c r="F80" i="25"/>
  <c r="F76" i="25"/>
  <c r="F72" i="25"/>
  <c r="F68" i="25"/>
  <c r="F64" i="25"/>
  <c r="F60" i="25"/>
  <c r="F56" i="25"/>
  <c r="F52" i="25"/>
  <c r="F48" i="25"/>
  <c r="F44" i="25"/>
  <c r="F40" i="25"/>
  <c r="F32" i="25"/>
  <c r="F28" i="25"/>
  <c r="F24" i="25"/>
  <c r="F20" i="25"/>
  <c r="F16" i="25"/>
  <c r="F12" i="25"/>
  <c r="F121" i="25"/>
  <c r="F89" i="25"/>
  <c r="F81" i="25"/>
  <c r="F69" i="25"/>
  <c r="F53" i="25"/>
  <c r="F45" i="25"/>
  <c r="F41" i="25"/>
  <c r="F21" i="25"/>
  <c r="F58" i="25"/>
  <c r="F50" i="25"/>
  <c r="F46" i="25"/>
  <c r="F42" i="25"/>
  <c r="F38" i="25"/>
  <c r="F37" i="25"/>
  <c r="F36" i="25"/>
  <c r="F35" i="25"/>
  <c r="F34" i="25"/>
  <c r="F30" i="25"/>
  <c r="F26" i="25"/>
  <c r="F22" i="25"/>
  <c r="F18" i="25"/>
  <c r="F14" i="25"/>
  <c r="B93" i="2"/>
  <c r="M180" i="24"/>
  <c r="N180" i="24" s="1"/>
  <c r="K128" i="24"/>
  <c r="K115" i="24"/>
  <c r="B34" i="2"/>
  <c r="B36" i="2" s="1"/>
  <c r="B22" i="2"/>
  <c r="M144" i="24"/>
  <c r="N144" i="24" s="1"/>
  <c r="M113" i="24"/>
  <c r="N113" i="24" s="1"/>
  <c r="K116" i="24"/>
  <c r="K179" i="24"/>
  <c r="M200" i="24"/>
  <c r="N200" i="24" s="1"/>
  <c r="M146" i="24"/>
  <c r="N146" i="24" s="1"/>
  <c r="K188" i="24"/>
  <c r="M193" i="24"/>
  <c r="N193" i="24" s="1"/>
  <c r="K161" i="24"/>
  <c r="M129" i="24"/>
  <c r="N129" i="24" s="1"/>
  <c r="M191" i="24"/>
  <c r="N191" i="24" s="1"/>
  <c r="K187" i="24"/>
  <c r="M126" i="24"/>
  <c r="N126" i="24" s="1"/>
  <c r="K167" i="24"/>
  <c r="M209" i="24"/>
  <c r="N209" i="24" s="1"/>
  <c r="K208" i="24"/>
  <c r="K210" i="24"/>
  <c r="M166" i="24"/>
  <c r="N166" i="24" s="1"/>
  <c r="M120" i="24"/>
  <c r="N120" i="24" s="1"/>
  <c r="K177" i="24"/>
  <c r="M158" i="24"/>
  <c r="N158" i="24" s="1"/>
  <c r="K170" i="24"/>
  <c r="K148" i="24"/>
  <c r="K145" i="24"/>
  <c r="M135" i="24"/>
  <c r="N135" i="24" s="1"/>
  <c r="F17" i="23"/>
  <c r="J17" i="23" s="1"/>
  <c r="M176" i="24"/>
  <c r="N176" i="24" s="1"/>
  <c r="M156" i="24"/>
  <c r="N156" i="24" s="1"/>
  <c r="M118" i="24"/>
  <c r="N118" i="24" s="1"/>
  <c r="K137" i="24"/>
  <c r="M132" i="24"/>
  <c r="N132" i="24" s="1"/>
  <c r="K136" i="24"/>
  <c r="K201" i="24"/>
  <c r="I33" i="23"/>
  <c r="M114" i="24"/>
  <c r="N114" i="24" s="1"/>
  <c r="K194" i="24"/>
  <c r="K206" i="24"/>
  <c r="K163" i="24"/>
  <c r="F54" i="23"/>
  <c r="J54" i="23" s="1"/>
  <c r="M130" i="24"/>
  <c r="N130" i="24" s="1"/>
  <c r="K192" i="24"/>
  <c r="K199" i="24"/>
  <c r="K196" i="24"/>
  <c r="M151" i="24"/>
  <c r="N151" i="24" s="1"/>
  <c r="K172" i="24"/>
  <c r="K123" i="24"/>
  <c r="M175" i="24"/>
  <c r="N175" i="24" s="1"/>
  <c r="K165" i="24"/>
  <c r="K181" i="24"/>
  <c r="K154" i="24"/>
  <c r="M117" i="24"/>
  <c r="N117" i="24" s="1"/>
  <c r="M124" i="24"/>
  <c r="N124" i="24" s="1"/>
  <c r="K142" i="24"/>
  <c r="I9" i="23"/>
  <c r="I70" i="23"/>
  <c r="M168" i="24"/>
  <c r="N168" i="24" s="1"/>
  <c r="M197" i="24"/>
  <c r="N197" i="24" s="1"/>
  <c r="K134" i="24"/>
  <c r="K182" i="24"/>
  <c r="F32" i="23"/>
  <c r="J32" i="23" s="1"/>
  <c r="F49" i="23"/>
  <c r="G49" i="23" s="1"/>
  <c r="H49" i="23" s="1"/>
  <c r="M153" i="24"/>
  <c r="N153" i="24" s="1"/>
  <c r="K131" i="24"/>
  <c r="M178" i="24"/>
  <c r="N178" i="24" s="1"/>
  <c r="K125" i="24"/>
  <c r="M202" i="24"/>
  <c r="N202" i="24" s="1"/>
  <c r="F103" i="23"/>
  <c r="G103" i="23" s="1"/>
  <c r="H103" i="23" s="1"/>
  <c r="F53" i="23"/>
  <c r="J53" i="23" s="1"/>
  <c r="K169" i="24"/>
  <c r="M198" i="24"/>
  <c r="N198" i="24" s="1"/>
  <c r="K150" i="24"/>
  <c r="K119" i="24"/>
  <c r="K110" i="24"/>
  <c r="K152" i="24"/>
  <c r="I16" i="23"/>
  <c r="F46" i="23"/>
  <c r="J46" i="23" s="1"/>
  <c r="I43" i="23"/>
  <c r="I36" i="23"/>
  <c r="F67" i="23"/>
  <c r="G67" i="23" s="1"/>
  <c r="H67" i="23" s="1"/>
  <c r="K155" i="24"/>
  <c r="K159" i="24"/>
  <c r="M127" i="24"/>
  <c r="N127" i="24" s="1"/>
  <c r="M121" i="24"/>
  <c r="N121" i="24" s="1"/>
  <c r="M147" i="24"/>
  <c r="N147" i="24" s="1"/>
  <c r="M190" i="24"/>
  <c r="N190" i="24" s="1"/>
  <c r="M173" i="24"/>
  <c r="N173" i="24" s="1"/>
  <c r="M164" i="24"/>
  <c r="N164" i="24" s="1"/>
  <c r="K162" i="24"/>
  <c r="I59" i="23"/>
  <c r="F30" i="23"/>
  <c r="J30" i="23" s="1"/>
  <c r="F88" i="23"/>
  <c r="G88" i="23" s="1"/>
  <c r="H88" i="23" s="1"/>
  <c r="I78" i="23"/>
  <c r="K122" i="24"/>
  <c r="M185" i="24"/>
  <c r="N185" i="24" s="1"/>
  <c r="M140" i="24"/>
  <c r="N140" i="24" s="1"/>
  <c r="M189" i="24"/>
  <c r="N189" i="24" s="1"/>
  <c r="I27" i="23"/>
  <c r="I75" i="23"/>
  <c r="F73" i="23"/>
  <c r="J73" i="23" s="1"/>
  <c r="F71" i="23"/>
  <c r="J71" i="23" s="1"/>
  <c r="I48" i="23"/>
  <c r="F84" i="23"/>
  <c r="G84" i="23" s="1"/>
  <c r="H84" i="23" s="1"/>
  <c r="F6" i="23"/>
  <c r="J6" i="23" s="1"/>
  <c r="F25" i="23"/>
  <c r="J25" i="23" s="1"/>
  <c r="I23" i="23"/>
  <c r="F60" i="23"/>
  <c r="G60" i="23" s="1"/>
  <c r="H60" i="23" s="1"/>
  <c r="I38" i="23"/>
  <c r="I62" i="23"/>
  <c r="K149" i="24"/>
  <c r="M111" i="24"/>
  <c r="N111" i="24" s="1"/>
  <c r="M138" i="24"/>
  <c r="N138" i="24" s="1"/>
  <c r="K112" i="24"/>
  <c r="K207" i="24"/>
  <c r="M171" i="24"/>
  <c r="N171" i="24" s="1"/>
  <c r="K157" i="24"/>
  <c r="M184" i="24"/>
  <c r="N184" i="24" s="1"/>
  <c r="K203" i="24"/>
  <c r="M133" i="24"/>
  <c r="N133" i="24" s="1"/>
  <c r="M143" i="24"/>
  <c r="N143" i="24" s="1"/>
  <c r="F105" i="23"/>
  <c r="J105" i="23" s="1"/>
  <c r="F94" i="23"/>
  <c r="J94" i="23" s="1"/>
  <c r="I41" i="23"/>
  <c r="F92" i="23"/>
  <c r="J92" i="23" s="1"/>
  <c r="M204" i="24"/>
  <c r="N204" i="24" s="1"/>
  <c r="M139" i="24"/>
  <c r="N139" i="24" s="1"/>
  <c r="M174" i="24"/>
  <c r="N174" i="24" s="1"/>
  <c r="M160" i="24"/>
  <c r="N160" i="24" s="1"/>
  <c r="K205" i="24"/>
  <c r="M195" i="24"/>
  <c r="N195" i="24" s="1"/>
  <c r="M141" i="24"/>
  <c r="N141" i="24" s="1"/>
  <c r="A226" i="2"/>
  <c r="C226" i="2"/>
  <c r="I11" i="23"/>
  <c r="F101" i="23"/>
  <c r="J101" i="23" s="1"/>
  <c r="F20" i="23"/>
  <c r="G20" i="23" s="1"/>
  <c r="H20" i="23" s="1"/>
  <c r="F81" i="23"/>
  <c r="J81" i="23" s="1"/>
  <c r="F14" i="23"/>
  <c r="J14" i="23" s="1"/>
  <c r="F22" i="23"/>
  <c r="J22" i="23" s="1"/>
  <c r="F63" i="23"/>
  <c r="G63" i="23" s="1"/>
  <c r="H63" i="23" s="1"/>
  <c r="K186" i="24"/>
  <c r="K183" i="24"/>
  <c r="F219" i="24"/>
  <c r="F223" i="24"/>
  <c r="F227" i="24"/>
  <c r="F231" i="24"/>
  <c r="F235" i="24"/>
  <c r="F239" i="24"/>
  <c r="F243" i="24"/>
  <c r="F247" i="24"/>
  <c r="F251" i="24"/>
  <c r="F255" i="24"/>
  <c r="F259" i="24"/>
  <c r="F263" i="24"/>
  <c r="F267" i="24"/>
  <c r="F271" i="24"/>
  <c r="F275" i="24"/>
  <c r="F279" i="24"/>
  <c r="F283" i="24"/>
  <c r="F287" i="24"/>
  <c r="F291" i="24"/>
  <c r="F295" i="24"/>
  <c r="F299" i="24"/>
  <c r="F303" i="24"/>
  <c r="F307" i="24"/>
  <c r="F311" i="24"/>
  <c r="F315" i="24"/>
  <c r="F132" i="24"/>
  <c r="F136" i="24"/>
  <c r="F140" i="24"/>
  <c r="F144" i="24"/>
  <c r="F148" i="24"/>
  <c r="F152" i="24"/>
  <c r="F156" i="24"/>
  <c r="F160" i="24"/>
  <c r="F164" i="24"/>
  <c r="F168" i="24"/>
  <c r="F172" i="24"/>
  <c r="F176" i="24"/>
  <c r="F180" i="24"/>
  <c r="F184" i="24"/>
  <c r="F188" i="24"/>
  <c r="F192" i="24"/>
  <c r="F196" i="24"/>
  <c r="F200" i="24"/>
  <c r="F204" i="24"/>
  <c r="F208" i="24"/>
  <c r="F114" i="24"/>
  <c r="F118" i="24"/>
  <c r="F122" i="24"/>
  <c r="F126" i="24"/>
  <c r="F130" i="24"/>
  <c r="F157" i="24"/>
  <c r="F161" i="24"/>
  <c r="F169" i="24"/>
  <c r="F177" i="24"/>
  <c r="F181" i="24"/>
  <c r="F189" i="24"/>
  <c r="F193" i="24"/>
  <c r="F201" i="24"/>
  <c r="F205" i="24"/>
  <c r="F115" i="24"/>
  <c r="F119" i="24"/>
  <c r="F127" i="24"/>
  <c r="F112" i="24"/>
  <c r="F194" i="24"/>
  <c r="F206" i="24"/>
  <c r="F210" i="24"/>
  <c r="F124" i="24"/>
  <c r="F128" i="24"/>
  <c r="F222" i="24"/>
  <c r="F234" i="24"/>
  <c r="F246" i="24"/>
  <c r="F258" i="24"/>
  <c r="F270" i="24"/>
  <c r="F274" i="24"/>
  <c r="F286" i="24"/>
  <c r="F298" i="24"/>
  <c r="F302" i="24"/>
  <c r="F314" i="24"/>
  <c r="F217" i="24"/>
  <c r="F135" i="24"/>
  <c r="F143" i="24"/>
  <c r="F151" i="24"/>
  <c r="F159" i="24"/>
  <c r="F171" i="24"/>
  <c r="F175" i="24"/>
  <c r="F220" i="24"/>
  <c r="F224" i="24"/>
  <c r="F228" i="24"/>
  <c r="F232" i="24"/>
  <c r="F236" i="24"/>
  <c r="F240" i="24"/>
  <c r="F244" i="24"/>
  <c r="F248" i="24"/>
  <c r="F252" i="24"/>
  <c r="F256" i="24"/>
  <c r="F260" i="24"/>
  <c r="F264" i="24"/>
  <c r="F268" i="24"/>
  <c r="F272" i="24"/>
  <c r="F276" i="24"/>
  <c r="F280" i="24"/>
  <c r="F284" i="24"/>
  <c r="F288" i="24"/>
  <c r="F292" i="24"/>
  <c r="F296" i="24"/>
  <c r="F300" i="24"/>
  <c r="F304" i="24"/>
  <c r="F308" i="24"/>
  <c r="F312" i="24"/>
  <c r="F316" i="24"/>
  <c r="F133" i="24"/>
  <c r="F137" i="24"/>
  <c r="F141" i="24"/>
  <c r="F145" i="24"/>
  <c r="F149" i="24"/>
  <c r="F153" i="24"/>
  <c r="F165" i="24"/>
  <c r="F173" i="24"/>
  <c r="F185" i="24"/>
  <c r="F197" i="24"/>
  <c r="F209" i="24"/>
  <c r="F123" i="24"/>
  <c r="F190" i="24"/>
  <c r="F198" i="24"/>
  <c r="F116" i="24"/>
  <c r="F230" i="24"/>
  <c r="F238" i="24"/>
  <c r="F254" i="24"/>
  <c r="F266" i="24"/>
  <c r="F278" i="24"/>
  <c r="F290" i="24"/>
  <c r="F306" i="24"/>
  <c r="F139" i="24"/>
  <c r="F155" i="24"/>
  <c r="F167" i="24"/>
  <c r="F183" i="24"/>
  <c r="F221" i="24"/>
  <c r="F225" i="24"/>
  <c r="F229" i="24"/>
  <c r="F233" i="24"/>
  <c r="F237" i="24"/>
  <c r="F241" i="24"/>
  <c r="F245" i="24"/>
  <c r="F249" i="24"/>
  <c r="F253" i="24"/>
  <c r="F257" i="24"/>
  <c r="F261" i="24"/>
  <c r="F265" i="24"/>
  <c r="F269" i="24"/>
  <c r="F273" i="24"/>
  <c r="F277" i="24"/>
  <c r="F281" i="24"/>
  <c r="F285" i="24"/>
  <c r="F289" i="24"/>
  <c r="F293" i="24"/>
  <c r="F297" i="24"/>
  <c r="F301" i="24"/>
  <c r="F305" i="24"/>
  <c r="F309" i="24"/>
  <c r="F313" i="24"/>
  <c r="F218" i="24"/>
  <c r="F134" i="24"/>
  <c r="F138" i="24"/>
  <c r="F142" i="24"/>
  <c r="F146" i="24"/>
  <c r="F150" i="24"/>
  <c r="F154" i="24"/>
  <c r="F158" i="24"/>
  <c r="F162" i="24"/>
  <c r="F166" i="24"/>
  <c r="F170" i="24"/>
  <c r="F174" i="24"/>
  <c r="F178" i="24"/>
  <c r="F182" i="24"/>
  <c r="F186" i="24"/>
  <c r="F202" i="24"/>
  <c r="F120" i="24"/>
  <c r="F111" i="24"/>
  <c r="F226" i="24"/>
  <c r="F242" i="24"/>
  <c r="F250" i="24"/>
  <c r="F262" i="24"/>
  <c r="F282" i="24"/>
  <c r="F294" i="24"/>
  <c r="F310" i="24"/>
  <c r="F131" i="24"/>
  <c r="F147" i="24"/>
  <c r="F163" i="24"/>
  <c r="F179" i="24"/>
  <c r="F191" i="24"/>
  <c r="F207" i="24"/>
  <c r="F125" i="24"/>
  <c r="F129" i="24"/>
  <c r="F121" i="24"/>
  <c r="F195" i="24"/>
  <c r="F113" i="24"/>
  <c r="F203" i="24"/>
  <c r="F199" i="24"/>
  <c r="F117" i="24"/>
  <c r="F187" i="24"/>
  <c r="I99" i="23"/>
  <c r="F80" i="23"/>
  <c r="J80" i="23" s="1"/>
  <c r="I31" i="23"/>
  <c r="I96" i="23"/>
  <c r="F77" i="23"/>
  <c r="G77" i="23" s="1"/>
  <c r="H77" i="23" s="1"/>
  <c r="I56" i="23"/>
  <c r="I86" i="23"/>
  <c r="K312" i="24"/>
  <c r="M312" i="24"/>
  <c r="N312" i="24" s="1"/>
  <c r="K276" i="24"/>
  <c r="M276" i="24"/>
  <c r="N276" i="24" s="1"/>
  <c r="K244" i="24"/>
  <c r="M244" i="24"/>
  <c r="N244" i="24" s="1"/>
  <c r="M315" i="24"/>
  <c r="N315" i="24" s="1"/>
  <c r="K315" i="24"/>
  <c r="M279" i="24"/>
  <c r="N279" i="24" s="1"/>
  <c r="Q279" i="24" s="1"/>
  <c r="K279" i="24"/>
  <c r="K247" i="24"/>
  <c r="M247" i="24"/>
  <c r="N247" i="24" s="1"/>
  <c r="M223" i="24"/>
  <c r="N223" i="24" s="1"/>
  <c r="K223" i="24"/>
  <c r="K302" i="24"/>
  <c r="M302" i="24"/>
  <c r="N302" i="24" s="1"/>
  <c r="K286" i="24"/>
  <c r="M286" i="24"/>
  <c r="N286" i="24" s="1"/>
  <c r="M270" i="24"/>
  <c r="N270" i="24" s="1"/>
  <c r="K270" i="24"/>
  <c r="M254" i="24"/>
  <c r="N254" i="24" s="1"/>
  <c r="K254" i="24"/>
  <c r="M238" i="24"/>
  <c r="N238" i="24" s="1"/>
  <c r="K238" i="24"/>
  <c r="K222" i="24"/>
  <c r="M222" i="24"/>
  <c r="N222" i="24" s="1"/>
  <c r="K296" i="24"/>
  <c r="M296" i="24"/>
  <c r="N296" i="24" s="1"/>
  <c r="M264" i="24"/>
  <c r="N264" i="24" s="1"/>
  <c r="K264" i="24"/>
  <c r="M232" i="24"/>
  <c r="N232" i="24" s="1"/>
  <c r="K232" i="24"/>
  <c r="M299" i="24"/>
  <c r="N299" i="24" s="1"/>
  <c r="K299" i="24"/>
  <c r="M267" i="24"/>
  <c r="N267" i="24" s="1"/>
  <c r="K267" i="24"/>
  <c r="K235" i="24"/>
  <c r="M235" i="24"/>
  <c r="N235" i="24" s="1"/>
  <c r="Q235" i="24" s="1"/>
  <c r="K309" i="24"/>
  <c r="M309" i="24"/>
  <c r="N309" i="24" s="1"/>
  <c r="Q309" i="24" s="1"/>
  <c r="K293" i="24"/>
  <c r="M293" i="24"/>
  <c r="N293" i="24" s="1"/>
  <c r="K277" i="24"/>
  <c r="M277" i="24"/>
  <c r="N277" i="24" s="1"/>
  <c r="M261" i="24"/>
  <c r="N261" i="24" s="1"/>
  <c r="K261" i="24"/>
  <c r="M245" i="24"/>
  <c r="N245" i="24" s="1"/>
  <c r="K245" i="24"/>
  <c r="M229" i="24"/>
  <c r="N229" i="24" s="1"/>
  <c r="K229" i="24"/>
  <c r="M304" i="24"/>
  <c r="N304" i="24" s="1"/>
  <c r="K304" i="24"/>
  <c r="K268" i="24"/>
  <c r="M268" i="24"/>
  <c r="N268" i="24" s="1"/>
  <c r="K236" i="24"/>
  <c r="M236" i="24"/>
  <c r="N236" i="24" s="1"/>
  <c r="M307" i="24"/>
  <c r="N307" i="24" s="1"/>
  <c r="K307" i="24"/>
  <c r="K271" i="24"/>
  <c r="M271" i="24"/>
  <c r="N271" i="24" s="1"/>
  <c r="M239" i="24"/>
  <c r="N239" i="24" s="1"/>
  <c r="K239" i="24"/>
  <c r="K314" i="24"/>
  <c r="M314" i="24"/>
  <c r="N314" i="24" s="1"/>
  <c r="K298" i="24"/>
  <c r="M298" i="24"/>
  <c r="N298" i="24" s="1"/>
  <c r="K282" i="24"/>
  <c r="M282" i="24"/>
  <c r="N282" i="24" s="1"/>
  <c r="M266" i="24"/>
  <c r="N266" i="24" s="1"/>
  <c r="K266" i="24"/>
  <c r="K250" i="24"/>
  <c r="M250" i="24"/>
  <c r="N250" i="24" s="1"/>
  <c r="K234" i="24"/>
  <c r="M234" i="24"/>
  <c r="N234" i="24" s="1"/>
  <c r="M218" i="24"/>
  <c r="N218" i="24" s="1"/>
  <c r="K218" i="24"/>
  <c r="M288" i="24"/>
  <c r="N288" i="24" s="1"/>
  <c r="K288" i="24"/>
  <c r="K256" i="24"/>
  <c r="M256" i="24"/>
  <c r="N256" i="24" s="1"/>
  <c r="Q256" i="24" s="1"/>
  <c r="K224" i="24"/>
  <c r="M224" i="24"/>
  <c r="N224" i="24" s="1"/>
  <c r="K291" i="24"/>
  <c r="M291" i="24"/>
  <c r="N291" i="24" s="1"/>
  <c r="Q291" i="24" s="1"/>
  <c r="M259" i="24"/>
  <c r="N259" i="24" s="1"/>
  <c r="K259" i="24"/>
  <c r="K219" i="24"/>
  <c r="M219" i="24"/>
  <c r="N219" i="24" s="1"/>
  <c r="K305" i="24"/>
  <c r="M305" i="24"/>
  <c r="N305" i="24" s="1"/>
  <c r="M289" i="24"/>
  <c r="N289" i="24" s="1"/>
  <c r="Q289" i="24" s="1"/>
  <c r="K289" i="24"/>
  <c r="K273" i="24"/>
  <c r="M273" i="24"/>
  <c r="N273" i="24" s="1"/>
  <c r="M257" i="24"/>
  <c r="N257" i="24" s="1"/>
  <c r="K257" i="24"/>
  <c r="M241" i="24"/>
  <c r="N241" i="24" s="1"/>
  <c r="K241" i="24"/>
  <c r="M225" i="24"/>
  <c r="N225" i="24" s="1"/>
  <c r="Q225" i="24" s="1"/>
  <c r="K225" i="24"/>
  <c r="M292" i="24"/>
  <c r="N292" i="24" s="1"/>
  <c r="K292" i="24"/>
  <c r="M260" i="24"/>
  <c r="N260" i="24" s="1"/>
  <c r="K260" i="24"/>
  <c r="M228" i="24"/>
  <c r="N228" i="24" s="1"/>
  <c r="Q228" i="24" s="1"/>
  <c r="K228" i="24"/>
  <c r="M295" i="24"/>
  <c r="N295" i="24" s="1"/>
  <c r="K295" i="24"/>
  <c r="M263" i="24"/>
  <c r="N263" i="24" s="1"/>
  <c r="Q263" i="24" s="1"/>
  <c r="K263" i="24"/>
  <c r="K231" i="24"/>
  <c r="M231" i="24"/>
  <c r="N231" i="24" s="1"/>
  <c r="K310" i="24"/>
  <c r="M310" i="24"/>
  <c r="N310" i="24" s="1"/>
  <c r="Q310" i="24" s="1"/>
  <c r="K294" i="24"/>
  <c r="M294" i="24"/>
  <c r="N294" i="24" s="1"/>
  <c r="M278" i="24"/>
  <c r="N278" i="24" s="1"/>
  <c r="K278" i="24"/>
  <c r="K262" i="24"/>
  <c r="M262" i="24"/>
  <c r="N262" i="24" s="1"/>
  <c r="K246" i="24"/>
  <c r="M246" i="24"/>
  <c r="N246" i="24" s="1"/>
  <c r="M230" i="24"/>
  <c r="N230" i="24" s="1"/>
  <c r="K230" i="24"/>
  <c r="K308" i="24"/>
  <c r="M308" i="24"/>
  <c r="N308" i="24" s="1"/>
  <c r="M280" i="24"/>
  <c r="N280" i="24" s="1"/>
  <c r="K280" i="24"/>
  <c r="K248" i="24"/>
  <c r="M248" i="24"/>
  <c r="N248" i="24" s="1"/>
  <c r="K311" i="24"/>
  <c r="M311" i="24"/>
  <c r="N311" i="24" s="1"/>
  <c r="K283" i="24"/>
  <c r="M283" i="24"/>
  <c r="N283" i="24" s="1"/>
  <c r="K251" i="24"/>
  <c r="M251" i="24"/>
  <c r="N251" i="24" s="1"/>
  <c r="K216" i="24"/>
  <c r="M216" i="24"/>
  <c r="K301" i="24"/>
  <c r="M301" i="24"/>
  <c r="N301" i="24" s="1"/>
  <c r="M285" i="24"/>
  <c r="N285" i="24" s="1"/>
  <c r="K285" i="24"/>
  <c r="K269" i="24"/>
  <c r="M269" i="24"/>
  <c r="N269" i="24" s="1"/>
  <c r="M253" i="24"/>
  <c r="N253" i="24" s="1"/>
  <c r="K253" i="24"/>
  <c r="K237" i="24"/>
  <c r="M237" i="24"/>
  <c r="N237" i="24" s="1"/>
  <c r="M221" i="24"/>
  <c r="N221" i="24" s="1"/>
  <c r="K221" i="24"/>
  <c r="I98" i="23"/>
  <c r="K316" i="24"/>
  <c r="M316" i="24"/>
  <c r="N316" i="24" s="1"/>
  <c r="K284" i="24"/>
  <c r="M284" i="24"/>
  <c r="N284" i="24" s="1"/>
  <c r="M252" i="24"/>
  <c r="N252" i="24" s="1"/>
  <c r="K252" i="24"/>
  <c r="M220" i="24"/>
  <c r="N220" i="24" s="1"/>
  <c r="K220" i="24"/>
  <c r="M287" i="24"/>
  <c r="N287" i="24" s="1"/>
  <c r="K287" i="24"/>
  <c r="K255" i="24"/>
  <c r="M255" i="24"/>
  <c r="N255" i="24" s="1"/>
  <c r="Q255" i="24" s="1"/>
  <c r="K227" i="24"/>
  <c r="M227" i="24"/>
  <c r="N227" i="24" s="1"/>
  <c r="K306" i="24"/>
  <c r="M306" i="24"/>
  <c r="N306" i="24" s="1"/>
  <c r="M290" i="24"/>
  <c r="N290" i="24" s="1"/>
  <c r="K290" i="24"/>
  <c r="K274" i="24"/>
  <c r="M274" i="24"/>
  <c r="N274" i="24" s="1"/>
  <c r="Q274" i="24" s="1"/>
  <c r="M258" i="24"/>
  <c r="N258" i="24" s="1"/>
  <c r="K258" i="24"/>
  <c r="M242" i="24"/>
  <c r="N242" i="24" s="1"/>
  <c r="K242" i="24"/>
  <c r="M226" i="24"/>
  <c r="N226" i="24" s="1"/>
  <c r="K226" i="24"/>
  <c r="K300" i="24"/>
  <c r="M300" i="24"/>
  <c r="N300" i="24" s="1"/>
  <c r="Q300" i="24" s="1"/>
  <c r="M272" i="24"/>
  <c r="N272" i="24" s="1"/>
  <c r="Q272" i="24" s="1"/>
  <c r="K272" i="24"/>
  <c r="K240" i="24"/>
  <c r="M240" i="24"/>
  <c r="N240" i="24" s="1"/>
  <c r="K303" i="24"/>
  <c r="M303" i="24"/>
  <c r="N303" i="24" s="1"/>
  <c r="K275" i="24"/>
  <c r="M275" i="24"/>
  <c r="N275" i="24" s="1"/>
  <c r="M243" i="24"/>
  <c r="N243" i="24" s="1"/>
  <c r="K243" i="24"/>
  <c r="K313" i="24"/>
  <c r="M313" i="24"/>
  <c r="N313" i="24" s="1"/>
  <c r="M297" i="24"/>
  <c r="N297" i="24" s="1"/>
  <c r="K297" i="24"/>
  <c r="M281" i="24"/>
  <c r="N281" i="24" s="1"/>
  <c r="K281" i="24"/>
  <c r="K265" i="24"/>
  <c r="M265" i="24"/>
  <c r="N265" i="24" s="1"/>
  <c r="Q265" i="24" s="1"/>
  <c r="K249" i="24"/>
  <c r="M249" i="24"/>
  <c r="N249" i="24" s="1"/>
  <c r="K233" i="24"/>
  <c r="M233" i="24"/>
  <c r="N233" i="24" s="1"/>
  <c r="K217" i="24"/>
  <c r="M217" i="24"/>
  <c r="N217" i="24" s="1"/>
  <c r="H109" i="19"/>
  <c r="H110" i="19" s="1"/>
  <c r="F6" i="24"/>
  <c r="F10" i="24"/>
  <c r="F14" i="24"/>
  <c r="F18" i="24"/>
  <c r="F22" i="24"/>
  <c r="F26" i="24"/>
  <c r="F30" i="24"/>
  <c r="F34" i="24"/>
  <c r="F38" i="24"/>
  <c r="F42" i="24"/>
  <c r="F46" i="24"/>
  <c r="F50" i="24"/>
  <c r="F54" i="24"/>
  <c r="F58" i="24"/>
  <c r="F62" i="24"/>
  <c r="F66" i="24"/>
  <c r="F70" i="24"/>
  <c r="F74" i="24"/>
  <c r="F78" i="24"/>
  <c r="F82" i="24"/>
  <c r="F86" i="24"/>
  <c r="F90" i="24"/>
  <c r="F94" i="24"/>
  <c r="F98" i="24"/>
  <c r="F102" i="24"/>
  <c r="F41" i="24"/>
  <c r="F53" i="24"/>
  <c r="F69" i="24"/>
  <c r="F81" i="24"/>
  <c r="F93" i="24"/>
  <c r="F7" i="24"/>
  <c r="F11" i="24"/>
  <c r="F15" i="24"/>
  <c r="F19" i="24"/>
  <c r="F23" i="24"/>
  <c r="F27" i="24"/>
  <c r="F31" i="24"/>
  <c r="F35" i="24"/>
  <c r="F39" i="24"/>
  <c r="F43" i="24"/>
  <c r="F47" i="24"/>
  <c r="F51" i="24"/>
  <c r="F55" i="24"/>
  <c r="F59" i="24"/>
  <c r="F63" i="24"/>
  <c r="F67" i="24"/>
  <c r="F71" i="24"/>
  <c r="F75" i="24"/>
  <c r="F79" i="24"/>
  <c r="F83" i="24"/>
  <c r="F87" i="24"/>
  <c r="F91" i="24"/>
  <c r="F95" i="24"/>
  <c r="F99" i="24"/>
  <c r="F103" i="24"/>
  <c r="F37" i="24"/>
  <c r="F61" i="24"/>
  <c r="F73" i="24"/>
  <c r="F89" i="24"/>
  <c r="F101" i="24"/>
  <c r="F8" i="24"/>
  <c r="F12" i="24"/>
  <c r="F16" i="24"/>
  <c r="F20" i="24"/>
  <c r="F24" i="24"/>
  <c r="F28" i="24"/>
  <c r="F32" i="24"/>
  <c r="F36" i="24"/>
  <c r="F40" i="24"/>
  <c r="F44" i="24"/>
  <c r="F48" i="24"/>
  <c r="F52" i="24"/>
  <c r="F56" i="24"/>
  <c r="F60" i="24"/>
  <c r="F64" i="24"/>
  <c r="F68" i="24"/>
  <c r="F72" i="24"/>
  <c r="F76" i="24"/>
  <c r="F80" i="24"/>
  <c r="F84" i="24"/>
  <c r="F88" i="24"/>
  <c r="F92" i="24"/>
  <c r="F96" i="24"/>
  <c r="F100" i="24"/>
  <c r="F104" i="24"/>
  <c r="F9" i="24"/>
  <c r="F13" i="24"/>
  <c r="F17" i="24"/>
  <c r="F21" i="24"/>
  <c r="F25" i="24"/>
  <c r="F29" i="24"/>
  <c r="F33" i="24"/>
  <c r="F45" i="24"/>
  <c r="F49" i="24"/>
  <c r="F57" i="24"/>
  <c r="F65" i="24"/>
  <c r="F77" i="24"/>
  <c r="F85" i="24"/>
  <c r="F97" i="24"/>
  <c r="F105" i="24"/>
  <c r="F52" i="23"/>
  <c r="J52" i="23" s="1"/>
  <c r="F102" i="23"/>
  <c r="J102" i="23" s="1"/>
  <c r="J79" i="23"/>
  <c r="J7" i="23"/>
  <c r="J106" i="23"/>
  <c r="I87" i="23"/>
  <c r="I8" i="23"/>
  <c r="I106" i="23"/>
  <c r="J31" i="23"/>
  <c r="J99" i="23"/>
  <c r="J56" i="23"/>
  <c r="J27" i="23"/>
  <c r="J96" i="23"/>
  <c r="J86" i="23"/>
  <c r="J70" i="23"/>
  <c r="J38" i="23"/>
  <c r="J33" i="23"/>
  <c r="J69" i="23"/>
  <c r="J89" i="23"/>
  <c r="J44" i="23"/>
  <c r="F12" i="23"/>
  <c r="J12" i="23" s="1"/>
  <c r="J39" i="23"/>
  <c r="I76" i="23"/>
  <c r="J76" i="23"/>
  <c r="F24" i="23"/>
  <c r="G24" i="23" s="1"/>
  <c r="H24" i="23" s="1"/>
  <c r="J98" i="23"/>
  <c r="I50" i="23"/>
  <c r="F34" i="23"/>
  <c r="J34" i="23" s="1"/>
  <c r="F13" i="23"/>
  <c r="J13" i="23" s="1"/>
  <c r="F85" i="23"/>
  <c r="J85" i="23" s="1"/>
  <c r="F87" i="23"/>
  <c r="J87" i="23" s="1"/>
  <c r="I55" i="23"/>
  <c r="F26" i="23"/>
  <c r="J26" i="23" s="1"/>
  <c r="F61" i="23"/>
  <c r="J61" i="23" s="1"/>
  <c r="I90" i="23"/>
  <c r="J59" i="23"/>
  <c r="J36" i="23"/>
  <c r="J43" i="23"/>
  <c r="J11" i="23"/>
  <c r="J75" i="23"/>
  <c r="J23" i="23"/>
  <c r="J48" i="23"/>
  <c r="J16" i="23"/>
  <c r="J78" i="23"/>
  <c r="J62" i="23"/>
  <c r="J41" i="23"/>
  <c r="J9" i="23"/>
  <c r="N91" i="23"/>
  <c r="O91" i="23" s="1"/>
  <c r="P91" i="23" s="1"/>
  <c r="N47" i="23"/>
  <c r="O47" i="23" s="1"/>
  <c r="P47" i="23" s="1"/>
  <c r="N100" i="23"/>
  <c r="O100" i="23" s="1"/>
  <c r="P100" i="23" s="1"/>
  <c r="N79" i="23"/>
  <c r="O79" i="23" s="1"/>
  <c r="P79" i="23" s="1"/>
  <c r="N57" i="23"/>
  <c r="O57" i="23" s="1"/>
  <c r="P57" i="23" s="1"/>
  <c r="N28" i="23"/>
  <c r="O28" i="23" s="1"/>
  <c r="P28" i="23" s="1"/>
  <c r="N104" i="23"/>
  <c r="O104" i="23" s="1"/>
  <c r="P104" i="23" s="1"/>
  <c r="N83" i="23"/>
  <c r="O83" i="23" s="1"/>
  <c r="P83" i="23" s="1"/>
  <c r="N61" i="23"/>
  <c r="O61" i="23" s="1"/>
  <c r="P61" i="23" s="1"/>
  <c r="N35" i="23"/>
  <c r="O35" i="23" s="1"/>
  <c r="P35" i="23" s="1"/>
  <c r="N8" i="23"/>
  <c r="O8" i="23" s="1"/>
  <c r="P8" i="23" s="1"/>
  <c r="N64" i="23"/>
  <c r="O64" i="23" s="1"/>
  <c r="P64" i="23" s="1"/>
  <c r="N7" i="23"/>
  <c r="O7" i="23" s="1"/>
  <c r="P7" i="23" s="1"/>
  <c r="N87" i="23"/>
  <c r="O87" i="23" s="1"/>
  <c r="P87" i="23" s="1"/>
  <c r="N65" i="23"/>
  <c r="O65" i="23" s="1"/>
  <c r="P65" i="23" s="1"/>
  <c r="N40" i="23"/>
  <c r="O40" i="23" s="1"/>
  <c r="P40" i="23" s="1"/>
  <c r="N106" i="23"/>
  <c r="O106" i="23" s="1"/>
  <c r="P106" i="23" s="1"/>
  <c r="N90" i="23"/>
  <c r="O90" i="23" s="1"/>
  <c r="P90" i="23" s="1"/>
  <c r="N74" i="23"/>
  <c r="O74" i="23" s="1"/>
  <c r="P74" i="23" s="1"/>
  <c r="N58" i="23"/>
  <c r="O58" i="23" s="1"/>
  <c r="P58" i="23" s="1"/>
  <c r="N42" i="23"/>
  <c r="O42" i="23" s="1"/>
  <c r="P42" i="23" s="1"/>
  <c r="N26" i="23"/>
  <c r="O26" i="23" s="1"/>
  <c r="P26" i="23" s="1"/>
  <c r="N10" i="23"/>
  <c r="O10" i="23" s="1"/>
  <c r="P10" i="23" s="1"/>
  <c r="N37" i="23"/>
  <c r="O37" i="23" s="1"/>
  <c r="P37" i="23" s="1"/>
  <c r="N21" i="23"/>
  <c r="O21" i="23" s="1"/>
  <c r="P21" i="23" s="1"/>
  <c r="I57" i="23"/>
  <c r="F91" i="23"/>
  <c r="J91" i="23" s="1"/>
  <c r="I21" i="23"/>
  <c r="F21" i="23"/>
  <c r="J21" i="23" s="1"/>
  <c r="I40" i="23"/>
  <c r="I104" i="23"/>
  <c r="I42" i="23"/>
  <c r="N80" i="23"/>
  <c r="O80" i="23" s="1"/>
  <c r="P80" i="23" s="1"/>
  <c r="N31" i="23"/>
  <c r="O31" i="23" s="1"/>
  <c r="P31" i="23" s="1"/>
  <c r="N95" i="23"/>
  <c r="O95" i="23" s="1"/>
  <c r="P95" i="23" s="1"/>
  <c r="N73" i="23"/>
  <c r="O73" i="23" s="1"/>
  <c r="P73" i="23" s="1"/>
  <c r="N52" i="23"/>
  <c r="O52" i="23" s="1"/>
  <c r="P52" i="23" s="1"/>
  <c r="N20" i="23"/>
  <c r="O20" i="23" s="1"/>
  <c r="P20" i="23" s="1"/>
  <c r="N99" i="23"/>
  <c r="O99" i="23" s="1"/>
  <c r="P99" i="23" s="1"/>
  <c r="N77" i="23"/>
  <c r="O77" i="23" s="1"/>
  <c r="P77" i="23" s="1"/>
  <c r="N56" i="23"/>
  <c r="O56" i="23" s="1"/>
  <c r="P56" i="23" s="1"/>
  <c r="N27" i="23"/>
  <c r="O27" i="23" s="1"/>
  <c r="P27" i="23" s="1"/>
  <c r="N96" i="23"/>
  <c r="O96" i="23" s="1"/>
  <c r="P96" i="23" s="1"/>
  <c r="N53" i="23"/>
  <c r="O53" i="23" s="1"/>
  <c r="P53" i="23" s="1"/>
  <c r="N103" i="23"/>
  <c r="O103" i="23" s="1"/>
  <c r="P103" i="23" s="1"/>
  <c r="N81" i="23"/>
  <c r="O81" i="23" s="1"/>
  <c r="P81" i="23" s="1"/>
  <c r="N60" i="23"/>
  <c r="O60" i="23" s="1"/>
  <c r="P60" i="23" s="1"/>
  <c r="N32" i="23"/>
  <c r="O32" i="23" s="1"/>
  <c r="P32" i="23" s="1"/>
  <c r="N102" i="23"/>
  <c r="O102" i="23" s="1"/>
  <c r="P102" i="23" s="1"/>
  <c r="N86" i="23"/>
  <c r="O86" i="23" s="1"/>
  <c r="P86" i="23" s="1"/>
  <c r="N70" i="23"/>
  <c r="O70" i="23" s="1"/>
  <c r="P70" i="23" s="1"/>
  <c r="N54" i="23"/>
  <c r="O54" i="23" s="1"/>
  <c r="P54" i="23" s="1"/>
  <c r="N38" i="23"/>
  <c r="O38" i="23" s="1"/>
  <c r="P38" i="23" s="1"/>
  <c r="N22" i="23"/>
  <c r="O22" i="23" s="1"/>
  <c r="P22" i="23" s="1"/>
  <c r="N49" i="23"/>
  <c r="O49" i="23" s="1"/>
  <c r="P49" i="23" s="1"/>
  <c r="N33" i="23"/>
  <c r="O33" i="23" s="1"/>
  <c r="P33" i="23" s="1"/>
  <c r="N17" i="23"/>
  <c r="O17" i="23" s="1"/>
  <c r="P17" i="23" s="1"/>
  <c r="N69" i="23"/>
  <c r="O69" i="23" s="1"/>
  <c r="P69" i="23" s="1"/>
  <c r="N15" i="23"/>
  <c r="O15" i="23" s="1"/>
  <c r="P15" i="23" s="1"/>
  <c r="N89" i="23"/>
  <c r="O89" i="23" s="1"/>
  <c r="P89" i="23" s="1"/>
  <c r="N68" i="23"/>
  <c r="O68" i="23" s="1"/>
  <c r="P68" i="23" s="1"/>
  <c r="N44" i="23"/>
  <c r="O44" i="23" s="1"/>
  <c r="P44" i="23" s="1"/>
  <c r="N12" i="23"/>
  <c r="O12" i="23" s="1"/>
  <c r="P12" i="23" s="1"/>
  <c r="N93" i="23"/>
  <c r="O93" i="23" s="1"/>
  <c r="P93" i="23" s="1"/>
  <c r="N72" i="23"/>
  <c r="O72" i="23" s="1"/>
  <c r="P72" i="23" s="1"/>
  <c r="N51" i="23"/>
  <c r="O51" i="23" s="1"/>
  <c r="P51" i="23" s="1"/>
  <c r="N19" i="23"/>
  <c r="O19" i="23" s="1"/>
  <c r="P19" i="23" s="1"/>
  <c r="N85" i="23"/>
  <c r="O85" i="23" s="1"/>
  <c r="P85" i="23" s="1"/>
  <c r="N39" i="23"/>
  <c r="O39" i="23" s="1"/>
  <c r="P39" i="23" s="1"/>
  <c r="N97" i="23"/>
  <c r="O97" i="23" s="1"/>
  <c r="P97" i="23" s="1"/>
  <c r="N76" i="23"/>
  <c r="O76" i="23" s="1"/>
  <c r="P76" i="23" s="1"/>
  <c r="N55" i="23"/>
  <c r="O55" i="23" s="1"/>
  <c r="P55" i="23" s="1"/>
  <c r="N24" i="23"/>
  <c r="O24" i="23" s="1"/>
  <c r="P24" i="23" s="1"/>
  <c r="N98" i="23"/>
  <c r="O98" i="23" s="1"/>
  <c r="P98" i="23" s="1"/>
  <c r="N82" i="23"/>
  <c r="O82" i="23" s="1"/>
  <c r="P82" i="23" s="1"/>
  <c r="N66" i="23"/>
  <c r="O66" i="23" s="1"/>
  <c r="P66" i="23" s="1"/>
  <c r="N50" i="23"/>
  <c r="O50" i="23" s="1"/>
  <c r="P50" i="23" s="1"/>
  <c r="N34" i="23"/>
  <c r="O34" i="23" s="1"/>
  <c r="P34" i="23" s="1"/>
  <c r="N18" i="23"/>
  <c r="O18" i="23" s="1"/>
  <c r="P18" i="23" s="1"/>
  <c r="N45" i="23"/>
  <c r="O45" i="23" s="1"/>
  <c r="P45" i="23" s="1"/>
  <c r="N29" i="23"/>
  <c r="O29" i="23" s="1"/>
  <c r="P29" i="23" s="1"/>
  <c r="N13" i="23"/>
  <c r="O13" i="23" s="1"/>
  <c r="P13" i="23" s="1"/>
  <c r="I51" i="23"/>
  <c r="I83" i="23"/>
  <c r="I91" i="23"/>
  <c r="I44" i="23"/>
  <c r="F90" i="23"/>
  <c r="J90" i="23" s="1"/>
  <c r="F83" i="23"/>
  <c r="G83" i="23" s="1"/>
  <c r="H83" i="23" s="1"/>
  <c r="F42" i="23"/>
  <c r="G42" i="23" s="1"/>
  <c r="H42" i="23" s="1"/>
  <c r="F35" i="23"/>
  <c r="J35" i="23" s="1"/>
  <c r="I69" i="23"/>
  <c r="F50" i="23"/>
  <c r="J50" i="23" s="1"/>
  <c r="I72" i="23"/>
  <c r="I45" i="23"/>
  <c r="F65" i="23"/>
  <c r="G65" i="23" s="1"/>
  <c r="H65" i="23" s="1"/>
  <c r="F82" i="23"/>
  <c r="J82" i="23" s="1"/>
  <c r="N101" i="23"/>
  <c r="O101" i="23" s="1"/>
  <c r="P101" i="23" s="1"/>
  <c r="N59" i="23"/>
  <c r="O59" i="23" s="1"/>
  <c r="P59" i="23" s="1"/>
  <c r="N105" i="23"/>
  <c r="O105" i="23" s="1"/>
  <c r="P105" i="23" s="1"/>
  <c r="N84" i="23"/>
  <c r="O84" i="23" s="1"/>
  <c r="P84" i="23" s="1"/>
  <c r="N63" i="23"/>
  <c r="O63" i="23" s="1"/>
  <c r="P63" i="23" s="1"/>
  <c r="N36" i="23"/>
  <c r="O36" i="23" s="1"/>
  <c r="P36" i="23" s="1"/>
  <c r="N6" i="23"/>
  <c r="O6" i="23" s="1"/>
  <c r="P6" i="23" s="1"/>
  <c r="N88" i="23"/>
  <c r="O88" i="23" s="1"/>
  <c r="P88" i="23" s="1"/>
  <c r="N67" i="23"/>
  <c r="O67" i="23" s="1"/>
  <c r="P67" i="23" s="1"/>
  <c r="N43" i="23"/>
  <c r="O43" i="23" s="1"/>
  <c r="P43" i="23" s="1"/>
  <c r="N11" i="23"/>
  <c r="O11" i="23" s="1"/>
  <c r="P11" i="23" s="1"/>
  <c r="N75" i="23"/>
  <c r="O75" i="23" s="1"/>
  <c r="P75" i="23" s="1"/>
  <c r="N23" i="23"/>
  <c r="O23" i="23" s="1"/>
  <c r="P23" i="23" s="1"/>
  <c r="N92" i="23"/>
  <c r="O92" i="23" s="1"/>
  <c r="P92" i="23" s="1"/>
  <c r="N71" i="23"/>
  <c r="O71" i="23" s="1"/>
  <c r="P71" i="23" s="1"/>
  <c r="N48" i="23"/>
  <c r="O48" i="23" s="1"/>
  <c r="P48" i="23" s="1"/>
  <c r="N16" i="23"/>
  <c r="O16" i="23" s="1"/>
  <c r="P16" i="23" s="1"/>
  <c r="N94" i="23"/>
  <c r="O94" i="23" s="1"/>
  <c r="P94" i="23" s="1"/>
  <c r="N78" i="23"/>
  <c r="O78" i="23" s="1"/>
  <c r="P78" i="23" s="1"/>
  <c r="N62" i="23"/>
  <c r="O62" i="23" s="1"/>
  <c r="P62" i="23" s="1"/>
  <c r="N46" i="23"/>
  <c r="O46" i="23" s="1"/>
  <c r="P46" i="23" s="1"/>
  <c r="N30" i="23"/>
  <c r="O30" i="23" s="1"/>
  <c r="P30" i="23" s="1"/>
  <c r="N14" i="23"/>
  <c r="O14" i="23" s="1"/>
  <c r="P14" i="23" s="1"/>
  <c r="N41" i="23"/>
  <c r="O41" i="23" s="1"/>
  <c r="P41" i="23" s="1"/>
  <c r="N25" i="23"/>
  <c r="O25" i="23" s="1"/>
  <c r="P25" i="23" s="1"/>
  <c r="N9" i="23"/>
  <c r="O9" i="23" s="1"/>
  <c r="P9" i="23" s="1"/>
  <c r="I19" i="23"/>
  <c r="I28" i="23"/>
  <c r="I89" i="23"/>
  <c r="F64" i="23"/>
  <c r="J64" i="23" s="1"/>
  <c r="F37" i="23"/>
  <c r="J37" i="23" s="1"/>
  <c r="F74" i="23"/>
  <c r="G74" i="23" s="1"/>
  <c r="H74" i="23" s="1"/>
  <c r="F15" i="23"/>
  <c r="J15" i="23" s="1"/>
  <c r="I47" i="23"/>
  <c r="I97" i="23"/>
  <c r="F68" i="23"/>
  <c r="J68" i="23" s="1"/>
  <c r="F45" i="23"/>
  <c r="J45" i="23" s="1"/>
  <c r="F19" i="23"/>
  <c r="J19" i="23" s="1"/>
  <c r="F47" i="23"/>
  <c r="J47" i="23" s="1"/>
  <c r="I68" i="23"/>
  <c r="F40" i="23"/>
  <c r="J40" i="23" s="1"/>
  <c r="F104" i="23"/>
  <c r="J104" i="23" s="1"/>
  <c r="F18" i="23"/>
  <c r="J18" i="23" s="1"/>
  <c r="F57" i="23"/>
  <c r="G57" i="23" s="1"/>
  <c r="H57" i="23" s="1"/>
  <c r="I7" i="23"/>
  <c r="F28" i="23"/>
  <c r="J28" i="23" s="1"/>
  <c r="F97" i="23"/>
  <c r="G97" i="23" s="1"/>
  <c r="H97" i="23" s="1"/>
  <c r="F8" i="23"/>
  <c r="J8" i="23" s="1"/>
  <c r="I58" i="23"/>
  <c r="I82" i="23"/>
  <c r="I74" i="23"/>
  <c r="I37" i="23"/>
  <c r="I35" i="23"/>
  <c r="I85" i="23"/>
  <c r="I29" i="23"/>
  <c r="F58" i="23"/>
  <c r="G58" i="23" s="1"/>
  <c r="H58" i="23" s="1"/>
  <c r="F51" i="23"/>
  <c r="J51" i="23" s="1"/>
  <c r="I15" i="23"/>
  <c r="I79" i="23"/>
  <c r="I93" i="23"/>
  <c r="I64" i="23"/>
  <c r="F100" i="23"/>
  <c r="G100" i="23" s="1"/>
  <c r="H100" i="23" s="1"/>
  <c r="F10" i="23"/>
  <c r="J10" i="23" s="1"/>
  <c r="F66" i="23"/>
  <c r="G66" i="23" s="1"/>
  <c r="H66" i="23" s="1"/>
  <c r="F55" i="23"/>
  <c r="J55" i="23" s="1"/>
  <c r="I100" i="23"/>
  <c r="F72" i="23"/>
  <c r="G72" i="23" s="1"/>
  <c r="H72" i="23" s="1"/>
  <c r="I39" i="23"/>
  <c r="I24" i="23"/>
  <c r="F29" i="23"/>
  <c r="J29" i="23" s="1"/>
  <c r="F93" i="23"/>
  <c r="G93" i="23" s="1"/>
  <c r="H93" i="23" s="1"/>
  <c r="F95" i="23"/>
  <c r="G95" i="23" s="1"/>
  <c r="H95" i="23" s="1"/>
  <c r="I26" i="23"/>
  <c r="I66" i="23"/>
  <c r="I18" i="23"/>
  <c r="I34" i="23"/>
  <c r="G96" i="23"/>
  <c r="H96" i="23" s="1"/>
  <c r="G41" i="23"/>
  <c r="H41" i="23" s="1"/>
  <c r="G36" i="23"/>
  <c r="H36" i="23" s="1"/>
  <c r="G86" i="23"/>
  <c r="H86" i="23" s="1"/>
  <c r="G23" i="23"/>
  <c r="H23" i="23" s="1"/>
  <c r="G62" i="23"/>
  <c r="H62" i="23" s="1"/>
  <c r="G11" i="23"/>
  <c r="H11" i="23" s="1"/>
  <c r="G48" i="23"/>
  <c r="H48" i="23" s="1"/>
  <c r="G9" i="23"/>
  <c r="H9" i="23" s="1"/>
  <c r="G69" i="23"/>
  <c r="H69" i="23" s="1"/>
  <c r="G75" i="23"/>
  <c r="H75" i="23" s="1"/>
  <c r="G89" i="23"/>
  <c r="H89" i="23" s="1"/>
  <c r="G39" i="23"/>
  <c r="H39" i="23" s="1"/>
  <c r="G99" i="23"/>
  <c r="H99" i="23" s="1"/>
  <c r="G76" i="23"/>
  <c r="H76" i="23" s="1"/>
  <c r="G98" i="23"/>
  <c r="H98" i="23" s="1"/>
  <c r="G27" i="23"/>
  <c r="H27" i="23" s="1"/>
  <c r="G79" i="23"/>
  <c r="H79" i="23" s="1"/>
  <c r="G78" i="23"/>
  <c r="H78" i="23" s="1"/>
  <c r="G70" i="23"/>
  <c r="H70" i="23" s="1"/>
  <c r="G59" i="23"/>
  <c r="H59" i="23" s="1"/>
  <c r="G33" i="23"/>
  <c r="H33" i="23" s="1"/>
  <c r="G43" i="23"/>
  <c r="H43" i="23" s="1"/>
  <c r="G16" i="23"/>
  <c r="H16" i="23" s="1"/>
  <c r="G106" i="23"/>
  <c r="H106" i="23" s="1"/>
  <c r="G31" i="23"/>
  <c r="H31" i="23" s="1"/>
  <c r="G38" i="23"/>
  <c r="H38" i="23" s="1"/>
  <c r="G56" i="23"/>
  <c r="H56" i="23" s="1"/>
  <c r="G44" i="23"/>
  <c r="H44" i="23" s="1"/>
  <c r="G7" i="23"/>
  <c r="H7" i="23" s="1"/>
  <c r="B19" i="19"/>
  <c r="D19" i="19" s="1"/>
  <c r="I17" i="8"/>
  <c r="J17" i="8" s="1"/>
  <c r="D150" i="2" s="1"/>
  <c r="F238" i="2" s="1"/>
  <c r="G149" i="2"/>
  <c r="F149" i="2"/>
  <c r="E37" i="1" s="1"/>
  <c r="H237" i="2" s="1"/>
  <c r="C42" i="16" s="1"/>
  <c r="I18" i="8"/>
  <c r="J18" i="8" s="1"/>
  <c r="G241" i="2" s="1"/>
  <c r="A244" i="2"/>
  <c r="B244" i="2"/>
  <c r="B225" i="2"/>
  <c r="D32" i="16"/>
  <c r="R53" i="2"/>
  <c r="C34" i="16"/>
  <c r="B135" i="2"/>
  <c r="K49" i="2"/>
  <c r="K50" i="2"/>
  <c r="D225" i="2"/>
  <c r="C157" i="8"/>
  <c r="C156" i="8" s="1"/>
  <c r="C155" i="8" s="1"/>
  <c r="C154" i="8" s="1"/>
  <c r="C153" i="8" s="1"/>
  <c r="C152" i="8" s="1"/>
  <c r="C151" i="8" s="1"/>
  <c r="C150" i="8" s="1"/>
  <c r="C149" i="8" s="1"/>
  <c r="C148" i="8" s="1"/>
  <c r="C147" i="8" s="1"/>
  <c r="C146" i="8" s="1"/>
  <c r="C145" i="8" s="1"/>
  <c r="C144" i="8" s="1"/>
  <c r="C143" i="8" s="1"/>
  <c r="C142" i="8" s="1"/>
  <c r="C141" i="8" s="1"/>
  <c r="C140" i="8" s="1"/>
  <c r="C139" i="8" s="1"/>
  <c r="C138" i="8" s="1"/>
  <c r="C137" i="8" s="1"/>
  <c r="C136" i="8" s="1"/>
  <c r="C135" i="8" s="1"/>
  <c r="C134" i="8" s="1"/>
  <c r="C133" i="8" s="1"/>
  <c r="C132" i="8" s="1"/>
  <c r="C131" i="8" s="1"/>
  <c r="C130" i="8" s="1"/>
  <c r="C129" i="8" s="1"/>
  <c r="C128" i="8" s="1"/>
  <c r="C127" i="8" s="1"/>
  <c r="C126" i="8" s="1"/>
  <c r="C125" i="8" s="1"/>
  <c r="C124" i="8" s="1"/>
  <c r="C123" i="8" s="1"/>
  <c r="C122" i="8" s="1"/>
  <c r="C121" i="8" s="1"/>
  <c r="C120" i="8" s="1"/>
  <c r="C119" i="8" s="1"/>
  <c r="C118" i="8" s="1"/>
  <c r="C117" i="8" s="1"/>
  <c r="C116" i="8" s="1"/>
  <c r="C115" i="8" s="1"/>
  <c r="C114" i="8" s="1"/>
  <c r="C113" i="8" s="1"/>
  <c r="C112" i="8" s="1"/>
  <c r="C111" i="8" s="1"/>
  <c r="C110" i="8" s="1"/>
  <c r="C109" i="8" s="1"/>
  <c r="C108" i="8" s="1"/>
  <c r="C107" i="8" s="1"/>
  <c r="C106" i="8" s="1"/>
  <c r="C105" i="8" s="1"/>
  <c r="C104" i="8" s="1"/>
  <c r="C103" i="8" s="1"/>
  <c r="C102" i="8" s="1"/>
  <c r="C101" i="8" s="1"/>
  <c r="C100" i="8" s="1"/>
  <c r="C99" i="8" s="1"/>
  <c r="C98" i="8" s="1"/>
  <c r="C97" i="8" s="1"/>
  <c r="C96" i="8" s="1"/>
  <c r="C95" i="8" s="1"/>
  <c r="C94" i="8" s="1"/>
  <c r="C93" i="8" s="1"/>
  <c r="C92" i="8" s="1"/>
  <c r="C91" i="8" s="1"/>
  <c r="C90" i="8" s="1"/>
  <c r="C89" i="8" s="1"/>
  <c r="C88" i="8" s="1"/>
  <c r="C87" i="8" s="1"/>
  <c r="C86" i="8" s="1"/>
  <c r="C85" i="8" s="1"/>
  <c r="C84" i="8" s="1"/>
  <c r="C83" i="8" s="1"/>
  <c r="C82" i="8" s="1"/>
  <c r="C81" i="8" s="1"/>
  <c r="C80" i="8" s="1"/>
  <c r="C79" i="8" s="1"/>
  <c r="C78" i="8" s="1"/>
  <c r="C77" i="8" s="1"/>
  <c r="C76" i="8" s="1"/>
  <c r="C75" i="8" s="1"/>
  <c r="C74" i="8" s="1"/>
  <c r="C73" i="8" s="1"/>
  <c r="C72" i="8" s="1"/>
  <c r="C71" i="8" s="1"/>
  <c r="C70" i="8" s="1"/>
  <c r="C69" i="8" s="1"/>
  <c r="C68" i="8" s="1"/>
  <c r="C67" i="8" s="1"/>
  <c r="C66" i="8" s="1"/>
  <c r="C65" i="8" s="1"/>
  <c r="C64" i="8" s="1"/>
  <c r="C63" i="8" s="1"/>
  <c r="C62" i="8" s="1"/>
  <c r="C61" i="8" s="1"/>
  <c r="C60" i="8" s="1"/>
  <c r="C59" i="8" s="1"/>
  <c r="C58" i="8" s="1"/>
  <c r="C57" i="8" s="1"/>
  <c r="C56" i="8" s="1"/>
  <c r="C55" i="8" s="1"/>
  <c r="C54" i="8" s="1"/>
  <c r="C53" i="8" s="1"/>
  <c r="C52" i="8" s="1"/>
  <c r="C51" i="8" s="1"/>
  <c r="C50" i="8" s="1"/>
  <c r="C49" i="8" s="1"/>
  <c r="C48" i="8" s="1"/>
  <c r="C47" i="8" s="1"/>
  <c r="C46" i="8" s="1"/>
  <c r="C45" i="8" s="1"/>
  <c r="C44" i="8" s="1"/>
  <c r="C43" i="8" s="1"/>
  <c r="C42" i="8" s="1"/>
  <c r="C41" i="8" s="1"/>
  <c r="C40" i="8" s="1"/>
  <c r="C39" i="8" s="1"/>
  <c r="C38" i="8" s="1"/>
  <c r="C37" i="8" s="1"/>
  <c r="C36" i="8" s="1"/>
  <c r="C35" i="8" s="1"/>
  <c r="C34" i="8" s="1"/>
  <c r="C33" i="8" s="1"/>
  <c r="C32" i="8" s="1"/>
  <c r="C31" i="8" s="1"/>
  <c r="C30" i="8" s="1"/>
  <c r="C29" i="8" s="1"/>
  <c r="C28" i="8" s="1"/>
  <c r="C27" i="8" s="1"/>
  <c r="C26" i="8" s="1"/>
  <c r="C25" i="8" s="1"/>
  <c r="C24" i="8" s="1"/>
  <c r="C23" i="8" s="1"/>
  <c r="C22" i="8" s="1"/>
  <c r="C21" i="8" s="1"/>
  <c r="C20" i="8" s="1"/>
  <c r="C19" i="8" s="1"/>
  <c r="C18" i="8" s="1"/>
  <c r="C17" i="8" s="1"/>
  <c r="C16" i="8" s="1"/>
  <c r="C15" i="8" s="1"/>
  <c r="C14" i="8" s="1"/>
  <c r="C13" i="8" s="1"/>
  <c r="C12" i="8" s="1"/>
  <c r="C11" i="8" s="1"/>
  <c r="C10" i="8" s="1"/>
  <c r="C9" i="8" s="1"/>
  <c r="C8" i="8" s="1"/>
  <c r="C7" i="8" s="1"/>
  <c r="C6" i="8" s="1"/>
  <c r="C4" i="8" s="1"/>
  <c r="B224" i="2"/>
  <c r="C225" i="2"/>
  <c r="B226" i="2"/>
  <c r="A227" i="2"/>
  <c r="B230" i="2"/>
  <c r="I11" i="19"/>
  <c r="I15" i="19"/>
  <c r="I19" i="19"/>
  <c r="I23" i="19"/>
  <c r="I27" i="19"/>
  <c r="I31" i="19"/>
  <c r="I35" i="19"/>
  <c r="I39" i="19"/>
  <c r="I43" i="19"/>
  <c r="I47" i="19"/>
  <c r="I51" i="19"/>
  <c r="I55" i="19"/>
  <c r="I59" i="19"/>
  <c r="I63" i="19"/>
  <c r="I67" i="19"/>
  <c r="I71" i="19"/>
  <c r="I75" i="19"/>
  <c r="I79" i="19"/>
  <c r="I83" i="19"/>
  <c r="I87" i="19"/>
  <c r="I91" i="19"/>
  <c r="I95" i="19"/>
  <c r="I99" i="19"/>
  <c r="I103" i="19"/>
  <c r="I13" i="19"/>
  <c r="I17" i="19"/>
  <c r="I21" i="19"/>
  <c r="I25" i="19"/>
  <c r="I29" i="19"/>
  <c r="I33" i="19"/>
  <c r="I37" i="19"/>
  <c r="I41" i="19"/>
  <c r="I45" i="19"/>
  <c r="I49" i="19"/>
  <c r="I53" i="19"/>
  <c r="I57" i="19"/>
  <c r="I61" i="19"/>
  <c r="I65" i="19"/>
  <c r="I69" i="19"/>
  <c r="I73" i="19"/>
  <c r="I77" i="19"/>
  <c r="I81" i="19"/>
  <c r="I85" i="19"/>
  <c r="I89" i="19"/>
  <c r="I93" i="19"/>
  <c r="I97" i="19"/>
  <c r="I101" i="19"/>
  <c r="I105" i="19"/>
  <c r="I10" i="19"/>
  <c r="I18" i="19"/>
  <c r="I26" i="19"/>
  <c r="I34" i="19"/>
  <c r="I42" i="19"/>
  <c r="I50" i="19"/>
  <c r="I58" i="19"/>
  <c r="I66" i="19"/>
  <c r="I74" i="19"/>
  <c r="I82" i="19"/>
  <c r="I90" i="19"/>
  <c r="I98" i="19"/>
  <c r="I106" i="19"/>
  <c r="I14" i="19"/>
  <c r="I22" i="19"/>
  <c r="I30" i="19"/>
  <c r="I38" i="19"/>
  <c r="I46" i="19"/>
  <c r="I54" i="19"/>
  <c r="I62" i="19"/>
  <c r="I70" i="19"/>
  <c r="I78" i="19"/>
  <c r="I86" i="19"/>
  <c r="I94" i="19"/>
  <c r="I102" i="19"/>
  <c r="I20" i="19"/>
  <c r="I36" i="19"/>
  <c r="I52" i="19"/>
  <c r="I68" i="19"/>
  <c r="I84" i="19"/>
  <c r="I100" i="19"/>
  <c r="I24" i="19"/>
  <c r="I40" i="19"/>
  <c r="I56" i="19"/>
  <c r="I72" i="19"/>
  <c r="I88" i="19"/>
  <c r="I104" i="19"/>
  <c r="I12" i="19"/>
  <c r="I28" i="19"/>
  <c r="I44" i="19"/>
  <c r="I60" i="19"/>
  <c r="I76" i="19"/>
  <c r="I92" i="19"/>
  <c r="I16" i="19"/>
  <c r="I32" i="19"/>
  <c r="I48" i="19"/>
  <c r="I64" i="19"/>
  <c r="I80" i="19"/>
  <c r="I96" i="19"/>
  <c r="D18" i="19"/>
  <c r="Q283" i="24" l="1"/>
  <c r="Q243" i="24"/>
  <c r="CC85" i="24"/>
  <c r="CC49" i="24"/>
  <c r="CC25" i="24"/>
  <c r="CC9" i="24"/>
  <c r="CC92" i="24"/>
  <c r="CC76" i="24"/>
  <c r="CC60" i="24"/>
  <c r="CC44" i="24"/>
  <c r="CC28" i="24"/>
  <c r="CC12" i="24"/>
  <c r="CC73" i="24"/>
  <c r="CC99" i="24"/>
  <c r="CC83" i="24"/>
  <c r="CC51" i="24"/>
  <c r="CC35" i="24"/>
  <c r="CC19" i="24"/>
  <c r="CC93" i="24"/>
  <c r="CC41" i="24"/>
  <c r="CC90" i="24"/>
  <c r="CC58" i="24"/>
  <c r="CC42" i="24"/>
  <c r="CC26" i="24"/>
  <c r="CC10" i="24"/>
  <c r="CC45" i="24"/>
  <c r="CC104" i="24"/>
  <c r="CC72" i="24"/>
  <c r="CC40" i="24"/>
  <c r="CC8" i="24"/>
  <c r="CC95" i="24"/>
  <c r="CC63" i="24"/>
  <c r="CC31" i="24"/>
  <c r="CC81" i="24"/>
  <c r="CC86" i="24"/>
  <c r="CC54" i="24"/>
  <c r="CC22" i="24"/>
  <c r="CC105" i="24"/>
  <c r="CC65" i="24"/>
  <c r="CC33" i="24"/>
  <c r="CC17" i="24"/>
  <c r="CC100" i="24"/>
  <c r="CC68" i="24"/>
  <c r="CC52" i="24"/>
  <c r="CC36" i="24"/>
  <c r="CC20" i="24"/>
  <c r="CC101" i="24"/>
  <c r="CC37" i="24"/>
  <c r="CC91" i="24"/>
  <c r="CC75" i="24"/>
  <c r="CC59" i="24"/>
  <c r="CC43" i="24"/>
  <c r="CC27" i="24"/>
  <c r="CC11" i="24"/>
  <c r="CC69" i="24"/>
  <c r="CC98" i="24"/>
  <c r="CC82" i="24"/>
  <c r="CC66" i="24"/>
  <c r="CC34" i="24"/>
  <c r="CC18" i="24"/>
  <c r="CC77" i="24"/>
  <c r="CC21" i="24"/>
  <c r="CC88" i="24"/>
  <c r="CC56" i="24"/>
  <c r="CC24" i="24"/>
  <c r="CC61" i="24"/>
  <c r="CC79" i="24"/>
  <c r="CC47" i="24"/>
  <c r="CC15" i="24"/>
  <c r="CC70" i="24"/>
  <c r="CC38" i="24"/>
  <c r="CC6" i="24"/>
  <c r="CC97" i="24"/>
  <c r="CC57" i="24"/>
  <c r="CC29" i="24"/>
  <c r="CC13" i="24"/>
  <c r="CC96" i="24"/>
  <c r="CC80" i="24"/>
  <c r="CC64" i="24"/>
  <c r="CC48" i="24"/>
  <c r="CC32" i="24"/>
  <c r="CC16" i="24"/>
  <c r="CC89" i="24"/>
  <c r="CC103" i="24"/>
  <c r="CC87" i="24"/>
  <c r="CC71" i="24"/>
  <c r="CC55" i="24"/>
  <c r="CC39" i="24"/>
  <c r="CC23" i="24"/>
  <c r="CC7" i="24"/>
  <c r="CC53" i="24"/>
  <c r="CC78" i="24"/>
  <c r="CC62" i="24"/>
  <c r="CC30" i="24"/>
  <c r="CC14" i="24"/>
  <c r="CB5" i="24"/>
  <c r="CC5" i="24"/>
  <c r="S45" i="24"/>
  <c r="S21" i="24"/>
  <c r="T21" i="24" s="1"/>
  <c r="O21" i="24" s="1"/>
  <c r="S88" i="24"/>
  <c r="S56" i="24"/>
  <c r="T56" i="24" s="1"/>
  <c r="O56" i="24" s="1"/>
  <c r="S24" i="24"/>
  <c r="S61" i="24"/>
  <c r="S63" i="24"/>
  <c r="T63" i="24" s="1"/>
  <c r="O63" i="24" s="1"/>
  <c r="S31" i="24"/>
  <c r="T31" i="24" s="1"/>
  <c r="O31" i="24" s="1"/>
  <c r="S81" i="24"/>
  <c r="S86" i="24"/>
  <c r="T86" i="24" s="1"/>
  <c r="O86" i="24" s="1"/>
  <c r="S54" i="24"/>
  <c r="T54" i="24" s="1"/>
  <c r="O54" i="24" s="1"/>
  <c r="S22" i="24"/>
  <c r="BM113" i="24"/>
  <c r="BP113" i="24" s="1"/>
  <c r="BM163" i="24"/>
  <c r="BP163" i="24" s="1"/>
  <c r="BM174" i="24"/>
  <c r="BP174" i="24" s="1"/>
  <c r="BM183" i="24"/>
  <c r="BP183" i="24" s="1"/>
  <c r="BM197" i="24"/>
  <c r="BP197" i="24" s="1"/>
  <c r="BM137" i="24"/>
  <c r="BP137" i="24" s="1"/>
  <c r="BM135" i="24"/>
  <c r="BP135" i="24" s="1"/>
  <c r="BM194" i="24"/>
  <c r="BP194" i="24" s="1"/>
  <c r="BM189" i="24"/>
  <c r="BP189" i="24" s="1"/>
  <c r="BM122" i="24"/>
  <c r="BP122" i="24" s="1"/>
  <c r="BM188" i="24"/>
  <c r="BP188" i="24" s="1"/>
  <c r="BM172" i="24"/>
  <c r="BP172" i="24" s="1"/>
  <c r="BZ129" i="25"/>
  <c r="BK129" i="25"/>
  <c r="BO129" i="25" s="1"/>
  <c r="BK145" i="25"/>
  <c r="BO145" i="25" s="1"/>
  <c r="BZ145" i="25"/>
  <c r="BK161" i="25"/>
  <c r="BO161" i="25" s="1"/>
  <c r="BZ161" i="25"/>
  <c r="BK177" i="25"/>
  <c r="BO177" i="25" s="1"/>
  <c r="BZ177" i="25"/>
  <c r="BZ193" i="25"/>
  <c r="BK193" i="25"/>
  <c r="BO193" i="25" s="1"/>
  <c r="BK150" i="25"/>
  <c r="BO150" i="25" s="1"/>
  <c r="BZ150" i="25"/>
  <c r="BK182" i="25"/>
  <c r="BO182" i="25" s="1"/>
  <c r="BZ182" i="25"/>
  <c r="BK131" i="25"/>
  <c r="BO131" i="25" s="1"/>
  <c r="BZ131" i="25"/>
  <c r="BK163" i="25"/>
  <c r="BO163" i="25" s="1"/>
  <c r="BZ163" i="25"/>
  <c r="BZ195" i="25"/>
  <c r="BK195" i="25"/>
  <c r="BO195" i="25" s="1"/>
  <c r="S65" i="24"/>
  <c r="S17" i="24"/>
  <c r="S84" i="24"/>
  <c r="S52" i="24"/>
  <c r="S20" i="24"/>
  <c r="S37" i="24"/>
  <c r="S75" i="24"/>
  <c r="S43" i="24"/>
  <c r="S11" i="24"/>
  <c r="S69" i="24"/>
  <c r="T69" i="24" s="1"/>
  <c r="O69" i="24" s="1"/>
  <c r="S98" i="24"/>
  <c r="S66" i="24"/>
  <c r="S34" i="24"/>
  <c r="BM195" i="24"/>
  <c r="BP195" i="24" s="1"/>
  <c r="BM147" i="24"/>
  <c r="BP147" i="24" s="1"/>
  <c r="BM154" i="24"/>
  <c r="BP154" i="24" s="1"/>
  <c r="BM167" i="24"/>
  <c r="BP167" i="24" s="1"/>
  <c r="BM185" i="24"/>
  <c r="BP185" i="24" s="1"/>
  <c r="BM133" i="24"/>
  <c r="BP133" i="24" s="1"/>
  <c r="BM112" i="24"/>
  <c r="BP112" i="24" s="1"/>
  <c r="BM181" i="24"/>
  <c r="BP181" i="24" s="1"/>
  <c r="BM157" i="24"/>
  <c r="BP157" i="24" s="1"/>
  <c r="BM200" i="24"/>
  <c r="BP200" i="24" s="1"/>
  <c r="BM168" i="24"/>
  <c r="BP168" i="24" s="1"/>
  <c r="BK113" i="25"/>
  <c r="BO113" i="25" s="1"/>
  <c r="BZ113" i="25"/>
  <c r="BZ122" i="25"/>
  <c r="BK122" i="25"/>
  <c r="BO122" i="25" s="1"/>
  <c r="BK123" i="25"/>
  <c r="BO123" i="25" s="1"/>
  <c r="BZ123" i="25"/>
  <c r="BK140" i="25"/>
  <c r="BO140" i="25" s="1"/>
  <c r="BZ140" i="25"/>
  <c r="BK156" i="25"/>
  <c r="BO156" i="25" s="1"/>
  <c r="BZ156" i="25"/>
  <c r="BK172" i="25"/>
  <c r="BO172" i="25" s="1"/>
  <c r="BZ172" i="25"/>
  <c r="BZ188" i="25"/>
  <c r="BK188" i="25"/>
  <c r="BO188" i="25" s="1"/>
  <c r="BK138" i="25"/>
  <c r="BO138" i="25" s="1"/>
  <c r="BZ138" i="25"/>
  <c r="BK170" i="25"/>
  <c r="BO170" i="25" s="1"/>
  <c r="BZ170" i="25"/>
  <c r="BK135" i="25"/>
  <c r="BO135" i="25" s="1"/>
  <c r="BZ135" i="25"/>
  <c r="BZ167" i="25"/>
  <c r="BK167" i="25"/>
  <c r="BO167" i="25" s="1"/>
  <c r="BZ199" i="25"/>
  <c r="BK199" i="25"/>
  <c r="BO199" i="25" s="1"/>
  <c r="S97" i="24"/>
  <c r="T97" i="24" s="1"/>
  <c r="O97" i="24" s="1"/>
  <c r="S57" i="24"/>
  <c r="S29" i="24"/>
  <c r="T29" i="24" s="1"/>
  <c r="O29" i="24" s="1"/>
  <c r="S13" i="24"/>
  <c r="S96" i="24"/>
  <c r="T96" i="24" s="1"/>
  <c r="O96" i="24" s="1"/>
  <c r="S80" i="24"/>
  <c r="S64" i="24"/>
  <c r="T64" i="24" s="1"/>
  <c r="O64" i="24" s="1"/>
  <c r="S48" i="24"/>
  <c r="S32" i="24"/>
  <c r="T32" i="24" s="1"/>
  <c r="O32" i="24" s="1"/>
  <c r="S16" i="24"/>
  <c r="S89" i="24"/>
  <c r="T89" i="24" s="1"/>
  <c r="O89" i="24" s="1"/>
  <c r="S103" i="24"/>
  <c r="S87" i="24"/>
  <c r="T87" i="24" s="1"/>
  <c r="O87" i="24" s="1"/>
  <c r="S71" i="24"/>
  <c r="S55" i="24"/>
  <c r="T55" i="24" s="1"/>
  <c r="O55" i="24" s="1"/>
  <c r="S39" i="24"/>
  <c r="S23" i="24"/>
  <c r="T23" i="24" s="1"/>
  <c r="O23" i="24" s="1"/>
  <c r="S7" i="24"/>
  <c r="S53" i="24"/>
  <c r="T53" i="24" s="1"/>
  <c r="O53" i="24" s="1"/>
  <c r="S94" i="24"/>
  <c r="S78" i="24"/>
  <c r="T78" i="24" s="1"/>
  <c r="O78" i="24" s="1"/>
  <c r="S62" i="24"/>
  <c r="S46" i="24"/>
  <c r="T46" i="24" s="1"/>
  <c r="O46" i="24" s="1"/>
  <c r="S30" i="24"/>
  <c r="S14" i="24"/>
  <c r="T14" i="24" s="1"/>
  <c r="O14" i="24" s="1"/>
  <c r="BM199" i="24"/>
  <c r="BP199" i="24" s="1"/>
  <c r="BM121" i="24"/>
  <c r="BP121" i="24" s="1"/>
  <c r="BM191" i="24"/>
  <c r="BP191" i="24" s="1"/>
  <c r="BM131" i="24"/>
  <c r="BP131" i="24" s="1"/>
  <c r="BM111" i="24"/>
  <c r="BP111" i="24" s="1"/>
  <c r="BM182" i="24"/>
  <c r="BP182" i="24" s="1"/>
  <c r="BM166" i="24"/>
  <c r="BP166" i="24" s="1"/>
  <c r="BM150" i="24"/>
  <c r="BP150" i="24" s="1"/>
  <c r="BM134" i="24"/>
  <c r="BP134" i="24" s="1"/>
  <c r="BM155" i="24"/>
  <c r="BP155" i="24" s="1"/>
  <c r="BM123" i="24"/>
  <c r="BP123" i="24" s="1"/>
  <c r="BM173" i="24"/>
  <c r="BP173" i="24" s="1"/>
  <c r="BM145" i="24"/>
  <c r="BP145" i="24" s="1"/>
  <c r="BM151" i="24"/>
  <c r="BP151" i="24" s="1"/>
  <c r="BM210" i="24"/>
  <c r="BP210" i="24" s="1"/>
  <c r="BM127" i="24"/>
  <c r="BP127" i="24" s="1"/>
  <c r="BM201" i="24"/>
  <c r="BP201" i="24" s="1"/>
  <c r="BM177" i="24"/>
  <c r="BP177" i="24" s="1"/>
  <c r="BM130" i="24"/>
  <c r="BP130" i="24" s="1"/>
  <c r="BM114" i="24"/>
  <c r="BP114" i="24" s="1"/>
  <c r="BM196" i="24"/>
  <c r="BP196" i="24" s="1"/>
  <c r="BM180" i="24"/>
  <c r="BP180" i="24" s="1"/>
  <c r="BM164" i="24"/>
  <c r="BP164" i="24" s="1"/>
  <c r="BM148" i="24"/>
  <c r="BP148" i="24" s="1"/>
  <c r="BM132" i="24"/>
  <c r="BP132" i="24" s="1"/>
  <c r="BK116" i="25"/>
  <c r="BO116" i="25" s="1"/>
  <c r="BZ116" i="25"/>
  <c r="BZ117" i="25"/>
  <c r="BK117" i="25"/>
  <c r="BO117" i="25" s="1"/>
  <c r="BK126" i="25"/>
  <c r="BO126" i="25" s="1"/>
  <c r="BZ126" i="25"/>
  <c r="BK111" i="25"/>
  <c r="BO111" i="25" s="1"/>
  <c r="BZ111" i="25"/>
  <c r="BZ127" i="25"/>
  <c r="BK127" i="25"/>
  <c r="BO127" i="25" s="1"/>
  <c r="BK133" i="25"/>
  <c r="BO133" i="25" s="1"/>
  <c r="BZ133" i="25"/>
  <c r="BZ141" i="25"/>
  <c r="BK141" i="25"/>
  <c r="BO141" i="25" s="1"/>
  <c r="BZ149" i="25"/>
  <c r="BK149" i="25"/>
  <c r="BO149" i="25" s="1"/>
  <c r="BZ157" i="25"/>
  <c r="BK157" i="25"/>
  <c r="BO157" i="25" s="1"/>
  <c r="BZ165" i="25"/>
  <c r="BK165" i="25"/>
  <c r="BO165" i="25" s="1"/>
  <c r="BZ173" i="25"/>
  <c r="BK173" i="25"/>
  <c r="BO173" i="25" s="1"/>
  <c r="BZ181" i="25"/>
  <c r="BK181" i="25"/>
  <c r="BO181" i="25" s="1"/>
  <c r="BZ189" i="25"/>
  <c r="BK189" i="25"/>
  <c r="BO189" i="25" s="1"/>
  <c r="BZ197" i="25"/>
  <c r="BK197" i="25"/>
  <c r="BO197" i="25" s="1"/>
  <c r="BK142" i="25"/>
  <c r="BO142" i="25" s="1"/>
  <c r="BZ142" i="25"/>
  <c r="BK158" i="25"/>
  <c r="BO158" i="25" s="1"/>
  <c r="BZ158" i="25"/>
  <c r="BK174" i="25"/>
  <c r="BO174" i="25" s="1"/>
  <c r="BZ174" i="25"/>
  <c r="BK190" i="25"/>
  <c r="BO190" i="25" s="1"/>
  <c r="BZ190" i="25"/>
  <c r="BZ139" i="25"/>
  <c r="BK139" i="25"/>
  <c r="BO139" i="25" s="1"/>
  <c r="BK155" i="25"/>
  <c r="BO155" i="25" s="1"/>
  <c r="BZ155" i="25"/>
  <c r="BZ171" i="25"/>
  <c r="BK171" i="25"/>
  <c r="BO171" i="25" s="1"/>
  <c r="BK187" i="25"/>
  <c r="BO187" i="25" s="1"/>
  <c r="BZ187" i="25"/>
  <c r="BZ201" i="25"/>
  <c r="BK201" i="25"/>
  <c r="BO201" i="25" s="1"/>
  <c r="BZ209" i="25"/>
  <c r="BK209" i="25"/>
  <c r="BO209" i="25" s="1"/>
  <c r="BZ203" i="25"/>
  <c r="BK203" i="25"/>
  <c r="BO203" i="25" s="1"/>
  <c r="BZ208" i="25"/>
  <c r="BK208" i="25"/>
  <c r="BO208" i="25" s="1"/>
  <c r="S77" i="24"/>
  <c r="S104" i="24"/>
  <c r="T104" i="24" s="1"/>
  <c r="O104" i="24" s="1"/>
  <c r="S72" i="24"/>
  <c r="T72" i="24" s="1"/>
  <c r="O72" i="24" s="1"/>
  <c r="S40" i="24"/>
  <c r="T40" i="24" s="1"/>
  <c r="O40" i="24" s="1"/>
  <c r="S8" i="24"/>
  <c r="S95" i="24"/>
  <c r="T95" i="24" s="1"/>
  <c r="O95" i="24" s="1"/>
  <c r="S79" i="24"/>
  <c r="T79" i="24" s="1"/>
  <c r="O79" i="24" s="1"/>
  <c r="S47" i="24"/>
  <c r="S15" i="24"/>
  <c r="S102" i="24"/>
  <c r="S70" i="24"/>
  <c r="T70" i="24" s="1"/>
  <c r="O70" i="24" s="1"/>
  <c r="S38" i="24"/>
  <c r="S6" i="24"/>
  <c r="BM187" i="24"/>
  <c r="BP187" i="24" s="1"/>
  <c r="BM125" i="24"/>
  <c r="BP125" i="24" s="1"/>
  <c r="BM202" i="24"/>
  <c r="BP202" i="24" s="1"/>
  <c r="BM158" i="24"/>
  <c r="BP158" i="24" s="1"/>
  <c r="BM142" i="24"/>
  <c r="BP142" i="24" s="1"/>
  <c r="BM198" i="24"/>
  <c r="BP198" i="24" s="1"/>
  <c r="BM153" i="24"/>
  <c r="BP153" i="24" s="1"/>
  <c r="BM171" i="24"/>
  <c r="BP171" i="24" s="1"/>
  <c r="BM128" i="24"/>
  <c r="BP128" i="24" s="1"/>
  <c r="BM115" i="24"/>
  <c r="BP115" i="24" s="1"/>
  <c r="BM161" i="24"/>
  <c r="BP161" i="24" s="1"/>
  <c r="BM204" i="24"/>
  <c r="BP204" i="24" s="1"/>
  <c r="BM156" i="24"/>
  <c r="BP156" i="24" s="1"/>
  <c r="BM140" i="24"/>
  <c r="BP140" i="24" s="1"/>
  <c r="BK121" i="25"/>
  <c r="BO121" i="25" s="1"/>
  <c r="BZ121" i="25"/>
  <c r="BK124" i="25"/>
  <c r="BO124" i="25" s="1"/>
  <c r="BZ124" i="25"/>
  <c r="BK118" i="25"/>
  <c r="BO118" i="25" s="1"/>
  <c r="BZ118" i="25"/>
  <c r="BZ119" i="25"/>
  <c r="BK119" i="25"/>
  <c r="BO119" i="25" s="1"/>
  <c r="BZ137" i="25"/>
  <c r="BK137" i="25"/>
  <c r="BO137" i="25" s="1"/>
  <c r="BK153" i="25"/>
  <c r="BO153" i="25" s="1"/>
  <c r="BZ153" i="25"/>
  <c r="BK169" i="25"/>
  <c r="BO169" i="25" s="1"/>
  <c r="BZ169" i="25"/>
  <c r="BK185" i="25"/>
  <c r="BO185" i="25" s="1"/>
  <c r="BZ185" i="25"/>
  <c r="BZ134" i="25"/>
  <c r="BK134" i="25"/>
  <c r="BO134" i="25" s="1"/>
  <c r="BK166" i="25"/>
  <c r="BO166" i="25" s="1"/>
  <c r="BZ166" i="25"/>
  <c r="BZ198" i="25"/>
  <c r="BK198" i="25"/>
  <c r="BO198" i="25" s="1"/>
  <c r="BK147" i="25"/>
  <c r="BO147" i="25" s="1"/>
  <c r="BZ147" i="25"/>
  <c r="BK179" i="25"/>
  <c r="BO179" i="25" s="1"/>
  <c r="BZ179" i="25"/>
  <c r="BZ205" i="25"/>
  <c r="BK205" i="25"/>
  <c r="BO205" i="25" s="1"/>
  <c r="BZ200" i="25"/>
  <c r="BK200" i="25"/>
  <c r="BO200" i="25" s="1"/>
  <c r="S105" i="24"/>
  <c r="T105" i="24" s="1"/>
  <c r="O105" i="24" s="1"/>
  <c r="S33" i="24"/>
  <c r="T33" i="24" s="1"/>
  <c r="O33" i="24" s="1"/>
  <c r="S100" i="24"/>
  <c r="T100" i="24" s="1"/>
  <c r="O100" i="24" s="1"/>
  <c r="S68" i="24"/>
  <c r="T68" i="24" s="1"/>
  <c r="O68" i="24" s="1"/>
  <c r="S36" i="24"/>
  <c r="T36" i="24" s="1"/>
  <c r="O36" i="24" s="1"/>
  <c r="S101" i="24"/>
  <c r="T101" i="24" s="1"/>
  <c r="O101" i="24" s="1"/>
  <c r="S91" i="24"/>
  <c r="T91" i="24" s="1"/>
  <c r="O91" i="24" s="1"/>
  <c r="S59" i="24"/>
  <c r="T59" i="24" s="1"/>
  <c r="O59" i="24" s="1"/>
  <c r="S27" i="24"/>
  <c r="T27" i="24" s="1"/>
  <c r="O27" i="24" s="1"/>
  <c r="S82" i="24"/>
  <c r="T82" i="24" s="1"/>
  <c r="O82" i="24" s="1"/>
  <c r="S50" i="24"/>
  <c r="T50" i="24" s="1"/>
  <c r="O50" i="24" s="1"/>
  <c r="S18" i="24"/>
  <c r="T18" i="24" s="1"/>
  <c r="O18" i="24" s="1"/>
  <c r="BM117" i="24"/>
  <c r="BP117" i="24" s="1"/>
  <c r="BM207" i="24"/>
  <c r="BP207" i="24" s="1"/>
  <c r="BM186" i="24"/>
  <c r="BP186" i="24" s="1"/>
  <c r="BM170" i="24"/>
  <c r="BP170" i="24" s="1"/>
  <c r="BM138" i="24"/>
  <c r="BP138" i="24" s="1"/>
  <c r="BM190" i="24"/>
  <c r="BP190" i="24" s="1"/>
  <c r="BM149" i="24"/>
  <c r="BP149" i="24" s="1"/>
  <c r="BM159" i="24"/>
  <c r="BP159" i="24" s="1"/>
  <c r="BM124" i="24"/>
  <c r="BP124" i="24" s="1"/>
  <c r="BM205" i="24"/>
  <c r="BP205" i="24" s="1"/>
  <c r="BM118" i="24"/>
  <c r="BP118" i="24" s="1"/>
  <c r="BM152" i="24"/>
  <c r="BP152" i="24" s="1"/>
  <c r="BM136" i="24"/>
  <c r="BP136" i="24" s="1"/>
  <c r="BZ112" i="25"/>
  <c r="BK112" i="25"/>
  <c r="BO112" i="25" s="1"/>
  <c r="BZ132" i="25"/>
  <c r="BK132" i="25"/>
  <c r="BO132" i="25" s="1"/>
  <c r="BK148" i="25"/>
  <c r="BO148" i="25" s="1"/>
  <c r="BZ148" i="25"/>
  <c r="BK164" i="25"/>
  <c r="BO164" i="25" s="1"/>
  <c r="BZ164" i="25"/>
  <c r="BK180" i="25"/>
  <c r="BO180" i="25" s="1"/>
  <c r="BZ180" i="25"/>
  <c r="BZ196" i="25"/>
  <c r="BK196" i="25"/>
  <c r="BO196" i="25" s="1"/>
  <c r="BZ154" i="25"/>
  <c r="BK154" i="25"/>
  <c r="BO154" i="25" s="1"/>
  <c r="BZ186" i="25"/>
  <c r="BK186" i="25"/>
  <c r="BO186" i="25" s="1"/>
  <c r="BK151" i="25"/>
  <c r="BO151" i="25" s="1"/>
  <c r="BZ151" i="25"/>
  <c r="BK183" i="25"/>
  <c r="BO183" i="25" s="1"/>
  <c r="BZ183" i="25"/>
  <c r="BZ206" i="25"/>
  <c r="BK206" i="25"/>
  <c r="BO206" i="25" s="1"/>
  <c r="BZ204" i="25"/>
  <c r="BK204" i="25"/>
  <c r="BO204" i="25" s="1"/>
  <c r="S85" i="24"/>
  <c r="T85" i="24" s="1"/>
  <c r="O85" i="24" s="1"/>
  <c r="S49" i="24"/>
  <c r="S25" i="24"/>
  <c r="T25" i="24" s="1"/>
  <c r="O25" i="24" s="1"/>
  <c r="S9" i="24"/>
  <c r="S92" i="24"/>
  <c r="T92" i="24" s="1"/>
  <c r="O92" i="24" s="1"/>
  <c r="S76" i="24"/>
  <c r="S60" i="24"/>
  <c r="T60" i="24" s="1"/>
  <c r="O60" i="24" s="1"/>
  <c r="S44" i="24"/>
  <c r="S28" i="24"/>
  <c r="T28" i="24" s="1"/>
  <c r="O28" i="24" s="1"/>
  <c r="S12" i="24"/>
  <c r="S73" i="24"/>
  <c r="T73" i="24" s="1"/>
  <c r="O73" i="24" s="1"/>
  <c r="S99" i="24"/>
  <c r="S83" i="24"/>
  <c r="T83" i="24" s="1"/>
  <c r="O83" i="24" s="1"/>
  <c r="S67" i="24"/>
  <c r="S51" i="24"/>
  <c r="T51" i="24" s="1"/>
  <c r="O51" i="24" s="1"/>
  <c r="S35" i="24"/>
  <c r="S19" i="24"/>
  <c r="T19" i="24" s="1"/>
  <c r="O19" i="24" s="1"/>
  <c r="S93" i="24"/>
  <c r="S41" i="24"/>
  <c r="T41" i="24" s="1"/>
  <c r="O41" i="24" s="1"/>
  <c r="S90" i="24"/>
  <c r="S74" i="24"/>
  <c r="T74" i="24" s="1"/>
  <c r="O74" i="24" s="1"/>
  <c r="S58" i="24"/>
  <c r="S42" i="24"/>
  <c r="T42" i="24" s="1"/>
  <c r="O42" i="24" s="1"/>
  <c r="S26" i="24"/>
  <c r="S10" i="24"/>
  <c r="T10" i="24" s="1"/>
  <c r="O10" i="24" s="1"/>
  <c r="BM203" i="24"/>
  <c r="BP203" i="24" s="1"/>
  <c r="BM129" i="24"/>
  <c r="BP129" i="24" s="1"/>
  <c r="BM179" i="24"/>
  <c r="BP179" i="24" s="1"/>
  <c r="BM120" i="24"/>
  <c r="BP120" i="24" s="1"/>
  <c r="BM178" i="24"/>
  <c r="BP178" i="24" s="1"/>
  <c r="BM162" i="24"/>
  <c r="BP162" i="24" s="1"/>
  <c r="BM146" i="24"/>
  <c r="BP146" i="24" s="1"/>
  <c r="BM139" i="24"/>
  <c r="BP139" i="24" s="1"/>
  <c r="BM116" i="24"/>
  <c r="BP116" i="24" s="1"/>
  <c r="BM209" i="24"/>
  <c r="BP209" i="24" s="1"/>
  <c r="BM165" i="24"/>
  <c r="BP165" i="24" s="1"/>
  <c r="BM175" i="24"/>
  <c r="BP175" i="24" s="1"/>
  <c r="BM143" i="24"/>
  <c r="BP143" i="24" s="1"/>
  <c r="BM206" i="24"/>
  <c r="BP206" i="24" s="1"/>
  <c r="BM119" i="24"/>
  <c r="BP119" i="24" s="1"/>
  <c r="BM193" i="24"/>
  <c r="BP193" i="24" s="1"/>
  <c r="BM169" i="24"/>
  <c r="BP169" i="24" s="1"/>
  <c r="BM126" i="24"/>
  <c r="BP126" i="24" s="1"/>
  <c r="BM208" i="24"/>
  <c r="BP208" i="24" s="1"/>
  <c r="BM192" i="24"/>
  <c r="BP192" i="24" s="1"/>
  <c r="BM176" i="24"/>
  <c r="BP176" i="24" s="1"/>
  <c r="BM160" i="24"/>
  <c r="BP160" i="24" s="1"/>
  <c r="BM144" i="24"/>
  <c r="BP144" i="24" s="1"/>
  <c r="BK120" i="25"/>
  <c r="BO120" i="25" s="1"/>
  <c r="BZ120" i="25"/>
  <c r="BZ125" i="25"/>
  <c r="BK125" i="25"/>
  <c r="BO125" i="25" s="1"/>
  <c r="BZ114" i="25"/>
  <c r="BK114" i="25"/>
  <c r="BO114" i="25" s="1"/>
  <c r="BZ115" i="25"/>
  <c r="BK115" i="25"/>
  <c r="BO115" i="25" s="1"/>
  <c r="BK128" i="25"/>
  <c r="BO128" i="25" s="1"/>
  <c r="BZ128" i="25"/>
  <c r="BK136" i="25"/>
  <c r="BO136" i="25" s="1"/>
  <c r="BZ136" i="25"/>
  <c r="BK144" i="25"/>
  <c r="BO144" i="25" s="1"/>
  <c r="BZ144" i="25"/>
  <c r="BZ152" i="25"/>
  <c r="BK152" i="25"/>
  <c r="BO152" i="25" s="1"/>
  <c r="BZ160" i="25"/>
  <c r="BK160" i="25"/>
  <c r="BO160" i="25" s="1"/>
  <c r="BK168" i="25"/>
  <c r="BO168" i="25" s="1"/>
  <c r="BZ168" i="25"/>
  <c r="BZ176" i="25"/>
  <c r="BK176" i="25"/>
  <c r="BO176" i="25" s="1"/>
  <c r="BZ184" i="25"/>
  <c r="BK184" i="25"/>
  <c r="BO184" i="25" s="1"/>
  <c r="BZ192" i="25"/>
  <c r="BK192" i="25"/>
  <c r="BO192" i="25" s="1"/>
  <c r="BK130" i="25"/>
  <c r="BO130" i="25" s="1"/>
  <c r="BZ130" i="25"/>
  <c r="BZ146" i="25"/>
  <c r="BK146" i="25"/>
  <c r="BO146" i="25" s="1"/>
  <c r="BZ162" i="25"/>
  <c r="BK162" i="25"/>
  <c r="BO162" i="25" s="1"/>
  <c r="BZ178" i="25"/>
  <c r="BK178" i="25"/>
  <c r="BO178" i="25" s="1"/>
  <c r="BZ194" i="25"/>
  <c r="BK194" i="25"/>
  <c r="BO194" i="25" s="1"/>
  <c r="BZ143" i="25"/>
  <c r="BK143" i="25"/>
  <c r="BO143" i="25" s="1"/>
  <c r="BK159" i="25"/>
  <c r="BO159" i="25" s="1"/>
  <c r="BZ159" i="25"/>
  <c r="BZ175" i="25"/>
  <c r="BK175" i="25"/>
  <c r="BO175" i="25" s="1"/>
  <c r="BK191" i="25"/>
  <c r="BO191" i="25" s="1"/>
  <c r="BZ191" i="25"/>
  <c r="BZ202" i="25"/>
  <c r="BK202" i="25"/>
  <c r="BO202" i="25" s="1"/>
  <c r="BZ210" i="25"/>
  <c r="BK210" i="25"/>
  <c r="BO210" i="25" s="1"/>
  <c r="BK207" i="25"/>
  <c r="BO207" i="25" s="1"/>
  <c r="BZ207" i="25"/>
  <c r="U110" i="24"/>
  <c r="V110" i="24" s="1"/>
  <c r="N110" i="24"/>
  <c r="N210" i="24"/>
  <c r="P210" i="24" s="1"/>
  <c r="N212" i="24"/>
  <c r="S141" i="24"/>
  <c r="T141" i="24" s="1"/>
  <c r="BM141" i="24"/>
  <c r="BP141" i="24" s="1"/>
  <c r="S184" i="24"/>
  <c r="T184" i="24" s="1"/>
  <c r="BM184" i="24"/>
  <c r="BP184" i="24" s="1"/>
  <c r="Q226" i="24"/>
  <c r="Q290" i="24"/>
  <c r="Q233" i="24"/>
  <c r="Q282" i="24"/>
  <c r="Q277" i="24"/>
  <c r="Q292" i="24"/>
  <c r="Q254" i="24"/>
  <c r="Q284" i="24"/>
  <c r="Q230" i="24"/>
  <c r="Q257" i="24"/>
  <c r="Q248" i="24"/>
  <c r="Q222" i="24"/>
  <c r="Q312" i="24"/>
  <c r="O216" i="24"/>
  <c r="J216" i="24"/>
  <c r="J110" i="24"/>
  <c r="O110" i="24"/>
  <c r="BW110" i="24" s="1"/>
  <c r="S121" i="24"/>
  <c r="T121" i="24" s="1"/>
  <c r="J121" i="24" s="1"/>
  <c r="S262" i="24"/>
  <c r="T262" i="24" s="1"/>
  <c r="O262" i="24" s="1"/>
  <c r="Q150" i="24"/>
  <c r="S150" i="24"/>
  <c r="T150" i="24" s="1"/>
  <c r="S305" i="24"/>
  <c r="T305" i="24" s="1"/>
  <c r="O305" i="24" s="1"/>
  <c r="S257" i="24"/>
  <c r="T257" i="24" s="1"/>
  <c r="O257" i="24" s="1"/>
  <c r="Q155" i="24"/>
  <c r="S155" i="24"/>
  <c r="T155" i="24" s="1"/>
  <c r="S230" i="24"/>
  <c r="T230" i="24" s="1"/>
  <c r="J230" i="24" s="1"/>
  <c r="Q145" i="24"/>
  <c r="S145" i="24"/>
  <c r="T145" i="24" s="1"/>
  <c r="S284" i="24"/>
  <c r="T284" i="24" s="1"/>
  <c r="O284" i="24" s="1"/>
  <c r="S236" i="24"/>
  <c r="T236" i="24" s="1"/>
  <c r="J236" i="24" s="1"/>
  <c r="S314" i="24"/>
  <c r="T314" i="24" s="1"/>
  <c r="J314" i="24" s="1"/>
  <c r="S210" i="24"/>
  <c r="T210" i="24" s="1"/>
  <c r="S130" i="24"/>
  <c r="T130" i="24" s="1"/>
  <c r="O130" i="24" s="1"/>
  <c r="S180" i="24"/>
  <c r="T180" i="24" s="1"/>
  <c r="J180" i="24" s="1"/>
  <c r="AI180" i="24" s="1"/>
  <c r="S132" i="24"/>
  <c r="T132" i="24" s="1"/>
  <c r="O132" i="24" s="1"/>
  <c r="S271" i="24"/>
  <c r="T271" i="24" s="1"/>
  <c r="J271" i="24" s="1"/>
  <c r="S223" i="24"/>
  <c r="T223" i="24" s="1"/>
  <c r="J223" i="24" s="1"/>
  <c r="Q187" i="24"/>
  <c r="S187" i="24"/>
  <c r="T187" i="24" s="1"/>
  <c r="S113" i="24"/>
  <c r="T113" i="24" s="1"/>
  <c r="O113" i="24" s="1"/>
  <c r="Q125" i="24"/>
  <c r="S125" i="24"/>
  <c r="T125" i="24" s="1"/>
  <c r="Q163" i="24"/>
  <c r="S163" i="24"/>
  <c r="T163" i="24" s="1"/>
  <c r="S294" i="24"/>
  <c r="T294" i="24" s="1"/>
  <c r="J294" i="24" s="1"/>
  <c r="S242" i="24"/>
  <c r="T242" i="24" s="1"/>
  <c r="O242" i="24" s="1"/>
  <c r="S202" i="24"/>
  <c r="T202" i="24" s="1"/>
  <c r="J202" i="24" s="1"/>
  <c r="AI202" i="24" s="1"/>
  <c r="S174" i="24"/>
  <c r="T174" i="24" s="1"/>
  <c r="O174" i="24" s="1"/>
  <c r="S158" i="24"/>
  <c r="T158" i="24" s="1"/>
  <c r="O158" i="24" s="1"/>
  <c r="Q142" i="24"/>
  <c r="S142" i="24"/>
  <c r="T142" i="24" s="1"/>
  <c r="S313" i="24"/>
  <c r="T313" i="24" s="1"/>
  <c r="O313" i="24" s="1"/>
  <c r="S297" i="24"/>
  <c r="T297" i="24" s="1"/>
  <c r="J297" i="24" s="1"/>
  <c r="S281" i="24"/>
  <c r="T281" i="24" s="1"/>
  <c r="O281" i="24" s="1"/>
  <c r="S265" i="24"/>
  <c r="T265" i="24" s="1"/>
  <c r="O265" i="24" s="1"/>
  <c r="S249" i="24"/>
  <c r="T249" i="24" s="1"/>
  <c r="O249" i="24" s="1"/>
  <c r="S233" i="24"/>
  <c r="T233" i="24" s="1"/>
  <c r="J233" i="24" s="1"/>
  <c r="Q183" i="24"/>
  <c r="S183" i="24"/>
  <c r="T183" i="24" s="1"/>
  <c r="S306" i="24"/>
  <c r="T306" i="24" s="1"/>
  <c r="O306" i="24" s="1"/>
  <c r="S254" i="24"/>
  <c r="T254" i="24" s="1"/>
  <c r="J254" i="24" s="1"/>
  <c r="S198" i="24"/>
  <c r="T198" i="24" s="1"/>
  <c r="O198" i="24" s="1"/>
  <c r="S197" i="24"/>
  <c r="T197" i="24" s="1"/>
  <c r="J197" i="24" s="1"/>
  <c r="S153" i="24"/>
  <c r="T153" i="24" s="1"/>
  <c r="O153" i="24" s="1"/>
  <c r="Q137" i="24"/>
  <c r="S137" i="24"/>
  <c r="T137" i="24" s="1"/>
  <c r="S308" i="24"/>
  <c r="T308" i="24" s="1"/>
  <c r="O308" i="24" s="1"/>
  <c r="S292" i="24"/>
  <c r="T292" i="24" s="1"/>
  <c r="J292" i="24" s="1"/>
  <c r="S276" i="24"/>
  <c r="T276" i="24" s="1"/>
  <c r="O276" i="24" s="1"/>
  <c r="S260" i="24"/>
  <c r="T260" i="24" s="1"/>
  <c r="O260" i="24" s="1"/>
  <c r="S244" i="24"/>
  <c r="T244" i="24" s="1"/>
  <c r="O244" i="24" s="1"/>
  <c r="S228" i="24"/>
  <c r="T228" i="24" s="1"/>
  <c r="J228" i="24" s="1"/>
  <c r="S171" i="24"/>
  <c r="T171" i="24" s="1"/>
  <c r="O171" i="24" s="1"/>
  <c r="S135" i="24"/>
  <c r="T135" i="24" s="1"/>
  <c r="J135" i="24" s="1"/>
  <c r="AI135" i="24" s="1"/>
  <c r="S298" i="24"/>
  <c r="T298" i="24" s="1"/>
  <c r="O298" i="24" s="1"/>
  <c r="S258" i="24"/>
  <c r="T258" i="24" s="1"/>
  <c r="J258" i="24" s="1"/>
  <c r="Q128" i="24"/>
  <c r="S128" i="24"/>
  <c r="T128" i="24" s="1"/>
  <c r="Q194" i="24"/>
  <c r="S194" i="24"/>
  <c r="T194" i="24" s="1"/>
  <c r="Q115" i="24"/>
  <c r="S115" i="24"/>
  <c r="T115" i="24" s="1"/>
  <c r="S189" i="24"/>
  <c r="T189" i="24" s="1"/>
  <c r="O189" i="24" s="1"/>
  <c r="Q161" i="24"/>
  <c r="S161" i="24"/>
  <c r="T161" i="24" s="1"/>
  <c r="Q122" i="24"/>
  <c r="S122" i="24"/>
  <c r="T122" i="24" s="1"/>
  <c r="S204" i="24"/>
  <c r="T204" i="24" s="1"/>
  <c r="O204" i="24" s="1"/>
  <c r="Q188" i="24"/>
  <c r="S188" i="24"/>
  <c r="T188" i="24" s="1"/>
  <c r="Q172" i="24"/>
  <c r="S172" i="24"/>
  <c r="T172" i="24" s="1"/>
  <c r="S156" i="24"/>
  <c r="T156" i="24" s="1"/>
  <c r="O156" i="24" s="1"/>
  <c r="S140" i="24"/>
  <c r="T140" i="24" s="1"/>
  <c r="J140" i="24" s="1"/>
  <c r="AI140" i="24" s="1"/>
  <c r="S311" i="24"/>
  <c r="T311" i="24" s="1"/>
  <c r="O311" i="24" s="1"/>
  <c r="S295" i="24"/>
  <c r="T295" i="24" s="1"/>
  <c r="O295" i="24" s="1"/>
  <c r="S279" i="24"/>
  <c r="T279" i="24" s="1"/>
  <c r="J279" i="24" s="1"/>
  <c r="S263" i="24"/>
  <c r="T263" i="24" s="1"/>
  <c r="O263" i="24" s="1"/>
  <c r="S247" i="24"/>
  <c r="T247" i="24" s="1"/>
  <c r="J247" i="24" s="1"/>
  <c r="S231" i="24"/>
  <c r="T231" i="24" s="1"/>
  <c r="O231" i="24" s="1"/>
  <c r="Q199" i="24"/>
  <c r="S199" i="24"/>
  <c r="T199" i="24" s="1"/>
  <c r="Q131" i="24"/>
  <c r="S131" i="24"/>
  <c r="T131" i="24" s="1"/>
  <c r="Q182" i="24"/>
  <c r="S182" i="24"/>
  <c r="T182" i="24" s="1"/>
  <c r="S289" i="24"/>
  <c r="T289" i="24" s="1"/>
  <c r="O289" i="24" s="1"/>
  <c r="S225" i="24"/>
  <c r="T225" i="24" s="1"/>
  <c r="O225" i="24" s="1"/>
  <c r="Q123" i="24"/>
  <c r="S123" i="24"/>
  <c r="T123" i="24" s="1"/>
  <c r="S316" i="24"/>
  <c r="T316" i="24" s="1"/>
  <c r="J316" i="24" s="1"/>
  <c r="S252" i="24"/>
  <c r="T252" i="24" s="1"/>
  <c r="O252" i="24" s="1"/>
  <c r="S151" i="24"/>
  <c r="T151" i="24" s="1"/>
  <c r="O151" i="24" s="1"/>
  <c r="S234" i="24"/>
  <c r="T234" i="24" s="1"/>
  <c r="J234" i="24" s="1"/>
  <c r="Q201" i="24"/>
  <c r="S201" i="24"/>
  <c r="T201" i="24" s="1"/>
  <c r="S114" i="24"/>
  <c r="T114" i="24" s="1"/>
  <c r="O114" i="24" s="1"/>
  <c r="S164" i="24"/>
  <c r="T164" i="24" s="1"/>
  <c r="J164" i="24" s="1"/>
  <c r="AI164" i="24" s="1"/>
  <c r="S303" i="24"/>
  <c r="T303" i="24" s="1"/>
  <c r="J303" i="24" s="1"/>
  <c r="S255" i="24"/>
  <c r="T255" i="24" s="1"/>
  <c r="O255" i="24" s="1"/>
  <c r="S117" i="24"/>
  <c r="T117" i="24" s="1"/>
  <c r="O117" i="24" s="1"/>
  <c r="S195" i="24"/>
  <c r="T195" i="24" s="1"/>
  <c r="O195" i="24" s="1"/>
  <c r="Q207" i="24"/>
  <c r="S207" i="24"/>
  <c r="T207" i="24" s="1"/>
  <c r="S147" i="24"/>
  <c r="T147" i="24" s="1"/>
  <c r="O147" i="24" s="1"/>
  <c r="S282" i="24"/>
  <c r="T282" i="24" s="1"/>
  <c r="O282" i="24" s="1"/>
  <c r="S226" i="24"/>
  <c r="T226" i="24" s="1"/>
  <c r="O226" i="24" s="1"/>
  <c r="Q186" i="24"/>
  <c r="S186" i="24"/>
  <c r="T186" i="24" s="1"/>
  <c r="Q170" i="24"/>
  <c r="S170" i="24"/>
  <c r="T170" i="24" s="1"/>
  <c r="Q154" i="24"/>
  <c r="S154" i="24"/>
  <c r="T154" i="24" s="1"/>
  <c r="S138" i="24"/>
  <c r="T138" i="24" s="1"/>
  <c r="J138" i="24" s="1"/>
  <c r="AI138" i="24" s="1"/>
  <c r="S309" i="24"/>
  <c r="T309" i="24" s="1"/>
  <c r="J309" i="24" s="1"/>
  <c r="S293" i="24"/>
  <c r="T293" i="24" s="1"/>
  <c r="J293" i="24" s="1"/>
  <c r="S277" i="24"/>
  <c r="T277" i="24" s="1"/>
  <c r="O277" i="24" s="1"/>
  <c r="S261" i="24"/>
  <c r="T261" i="24" s="1"/>
  <c r="O261" i="24" s="1"/>
  <c r="S245" i="24"/>
  <c r="T245" i="24" s="1"/>
  <c r="J245" i="24" s="1"/>
  <c r="S229" i="24"/>
  <c r="T229" i="24" s="1"/>
  <c r="J229" i="24" s="1"/>
  <c r="Q167" i="24"/>
  <c r="S167" i="24"/>
  <c r="T167" i="24" s="1"/>
  <c r="S290" i="24"/>
  <c r="T290" i="24" s="1"/>
  <c r="O290" i="24" s="1"/>
  <c r="S238" i="24"/>
  <c r="T238" i="24" s="1"/>
  <c r="O238" i="24" s="1"/>
  <c r="S190" i="24"/>
  <c r="T190" i="24" s="1"/>
  <c r="O190" i="24" s="1"/>
  <c r="S185" i="24"/>
  <c r="T185" i="24" s="1"/>
  <c r="O185" i="24" s="1"/>
  <c r="Q149" i="24"/>
  <c r="S149" i="24"/>
  <c r="T149" i="24" s="1"/>
  <c r="S133" i="24"/>
  <c r="T133" i="24" s="1"/>
  <c r="O133" i="24" s="1"/>
  <c r="S304" i="24"/>
  <c r="T304" i="24" s="1"/>
  <c r="J304" i="24" s="1"/>
  <c r="S288" i="24"/>
  <c r="T288" i="24" s="1"/>
  <c r="J288" i="24" s="1"/>
  <c r="S272" i="24"/>
  <c r="T272" i="24" s="1"/>
  <c r="J272" i="24" s="1"/>
  <c r="S256" i="24"/>
  <c r="T256" i="24" s="1"/>
  <c r="J256" i="24" s="1"/>
  <c r="S240" i="24"/>
  <c r="T240" i="24" s="1"/>
  <c r="J240" i="24" s="1"/>
  <c r="S224" i="24"/>
  <c r="T224" i="24" s="1"/>
  <c r="J224" i="24" s="1"/>
  <c r="Q159" i="24"/>
  <c r="S159" i="24"/>
  <c r="T159" i="24" s="1"/>
  <c r="S217" i="24"/>
  <c r="T217" i="24" s="1"/>
  <c r="O217" i="24" s="1"/>
  <c r="S286" i="24"/>
  <c r="T286" i="24" s="1"/>
  <c r="J286" i="24" s="1"/>
  <c r="S246" i="24"/>
  <c r="T246" i="24" s="1"/>
  <c r="O246" i="24" s="1"/>
  <c r="S124" i="24"/>
  <c r="T124" i="24" s="1"/>
  <c r="J124" i="24" s="1"/>
  <c r="AI124" i="24" s="1"/>
  <c r="Q112" i="24"/>
  <c r="S112" i="24"/>
  <c r="T112" i="24" s="1"/>
  <c r="Q205" i="24"/>
  <c r="S205" i="24"/>
  <c r="T205" i="24" s="1"/>
  <c r="Q181" i="24"/>
  <c r="S181" i="24"/>
  <c r="T181" i="24" s="1"/>
  <c r="Q157" i="24"/>
  <c r="S157" i="24"/>
  <c r="T157" i="24" s="1"/>
  <c r="S118" i="24"/>
  <c r="T118" i="24" s="1"/>
  <c r="J118" i="24" s="1"/>
  <c r="AI118" i="24" s="1"/>
  <c r="S200" i="24"/>
  <c r="T200" i="24" s="1"/>
  <c r="J200" i="24" s="1"/>
  <c r="AI200" i="24" s="1"/>
  <c r="S168" i="24"/>
  <c r="T168" i="24" s="1"/>
  <c r="O168" i="24" s="1"/>
  <c r="Q152" i="24"/>
  <c r="S152" i="24"/>
  <c r="T152" i="24" s="1"/>
  <c r="Q136" i="24"/>
  <c r="S136" i="24"/>
  <c r="T136" i="24" s="1"/>
  <c r="S307" i="24"/>
  <c r="T307" i="24" s="1"/>
  <c r="J307" i="24" s="1"/>
  <c r="S291" i="24"/>
  <c r="T291" i="24" s="1"/>
  <c r="O291" i="24" s="1"/>
  <c r="S275" i="24"/>
  <c r="T275" i="24" s="1"/>
  <c r="J275" i="24" s="1"/>
  <c r="S259" i="24"/>
  <c r="T259" i="24" s="1"/>
  <c r="J259" i="24" s="1"/>
  <c r="S243" i="24"/>
  <c r="T243" i="24" s="1"/>
  <c r="J243" i="24" s="1"/>
  <c r="S227" i="24"/>
  <c r="T227" i="24" s="1"/>
  <c r="J227" i="24" s="1"/>
  <c r="S191" i="24"/>
  <c r="T191" i="24" s="1"/>
  <c r="O191" i="24" s="1"/>
  <c r="S111" i="24"/>
  <c r="T111" i="24" s="1"/>
  <c r="J111" i="24" s="1"/>
  <c r="S166" i="24"/>
  <c r="T166" i="24" s="1"/>
  <c r="O166" i="24" s="1"/>
  <c r="Q134" i="24"/>
  <c r="S134" i="24"/>
  <c r="T134" i="24" s="1"/>
  <c r="S273" i="24"/>
  <c r="T273" i="24" s="1"/>
  <c r="J273" i="24" s="1"/>
  <c r="S241" i="24"/>
  <c r="T241" i="24" s="1"/>
  <c r="J241" i="24" s="1"/>
  <c r="S278" i="24"/>
  <c r="T278" i="24" s="1"/>
  <c r="O278" i="24" s="1"/>
  <c r="S173" i="24"/>
  <c r="T173" i="24" s="1"/>
  <c r="J173" i="24" s="1"/>
  <c r="AI173" i="24" s="1"/>
  <c r="S300" i="24"/>
  <c r="T300" i="24" s="1"/>
  <c r="J300" i="24" s="1"/>
  <c r="S268" i="24"/>
  <c r="T268" i="24" s="1"/>
  <c r="J268" i="24" s="1"/>
  <c r="S220" i="24"/>
  <c r="T220" i="24" s="1"/>
  <c r="J220" i="24" s="1"/>
  <c r="S274" i="24"/>
  <c r="T274" i="24" s="1"/>
  <c r="J274" i="24" s="1"/>
  <c r="S127" i="24"/>
  <c r="T127" i="24" s="1"/>
  <c r="J127" i="24" s="1"/>
  <c r="Q177" i="24"/>
  <c r="S177" i="24"/>
  <c r="T177" i="24" s="1"/>
  <c r="Q196" i="24"/>
  <c r="S196" i="24"/>
  <c r="T196" i="24" s="1"/>
  <c r="Q148" i="24"/>
  <c r="S148" i="24"/>
  <c r="T148" i="24" s="1"/>
  <c r="S287" i="24"/>
  <c r="T287" i="24" s="1"/>
  <c r="J287" i="24" s="1"/>
  <c r="S239" i="24"/>
  <c r="T239" i="24" s="1"/>
  <c r="J239" i="24" s="1"/>
  <c r="Q203" i="24"/>
  <c r="S203" i="24"/>
  <c r="T203" i="24" s="1"/>
  <c r="S129" i="24"/>
  <c r="T129" i="24" s="1"/>
  <c r="J129" i="24" s="1"/>
  <c r="AI129" i="24" s="1"/>
  <c r="Q179" i="24"/>
  <c r="S179" i="24"/>
  <c r="T179" i="24" s="1"/>
  <c r="S310" i="24"/>
  <c r="T310" i="24" s="1"/>
  <c r="J310" i="24" s="1"/>
  <c r="S250" i="24"/>
  <c r="T250" i="24" s="1"/>
  <c r="J250" i="24" s="1"/>
  <c r="S120" i="24"/>
  <c r="T120" i="24" s="1"/>
  <c r="O120" i="24" s="1"/>
  <c r="S178" i="24"/>
  <c r="T178" i="24" s="1"/>
  <c r="J178" i="24" s="1"/>
  <c r="AI178" i="24" s="1"/>
  <c r="Q162" i="24"/>
  <c r="S162" i="24"/>
  <c r="T162" i="24" s="1"/>
  <c r="S146" i="24"/>
  <c r="T146" i="24" s="1"/>
  <c r="O146" i="24" s="1"/>
  <c r="S218" i="24"/>
  <c r="T218" i="24" s="1"/>
  <c r="J218" i="24" s="1"/>
  <c r="S301" i="24"/>
  <c r="T301" i="24" s="1"/>
  <c r="J301" i="24" s="1"/>
  <c r="S285" i="24"/>
  <c r="T285" i="24" s="1"/>
  <c r="J285" i="24" s="1"/>
  <c r="S269" i="24"/>
  <c r="T269" i="24" s="1"/>
  <c r="O269" i="24" s="1"/>
  <c r="S253" i="24"/>
  <c r="T253" i="24" s="1"/>
  <c r="O253" i="24" s="1"/>
  <c r="S237" i="24"/>
  <c r="T237" i="24" s="1"/>
  <c r="O237" i="24" s="1"/>
  <c r="S221" i="24"/>
  <c r="T221" i="24" s="1"/>
  <c r="J221" i="24" s="1"/>
  <c r="S139" i="24"/>
  <c r="T139" i="24" s="1"/>
  <c r="O139" i="24" s="1"/>
  <c r="S266" i="24"/>
  <c r="T266" i="24" s="1"/>
  <c r="J266" i="24" s="1"/>
  <c r="Q116" i="24"/>
  <c r="S116" i="24"/>
  <c r="T116" i="24" s="1"/>
  <c r="S209" i="24"/>
  <c r="T209" i="24" s="1"/>
  <c r="O209" i="24" s="1"/>
  <c r="Q165" i="24"/>
  <c r="S165" i="24"/>
  <c r="T165" i="24" s="1"/>
  <c r="S312" i="24"/>
  <c r="T312" i="24" s="1"/>
  <c r="O312" i="24" s="1"/>
  <c r="S296" i="24"/>
  <c r="T296" i="24" s="1"/>
  <c r="O296" i="24" s="1"/>
  <c r="S280" i="24"/>
  <c r="T280" i="24" s="1"/>
  <c r="O280" i="24" s="1"/>
  <c r="S264" i="24"/>
  <c r="T264" i="24" s="1"/>
  <c r="J264" i="24" s="1"/>
  <c r="S248" i="24"/>
  <c r="T248" i="24" s="1"/>
  <c r="O248" i="24" s="1"/>
  <c r="S232" i="24"/>
  <c r="T232" i="24" s="1"/>
  <c r="O232" i="24" s="1"/>
  <c r="S175" i="24"/>
  <c r="T175" i="24" s="1"/>
  <c r="J175" i="24" s="1"/>
  <c r="AI175" i="24" s="1"/>
  <c r="S143" i="24"/>
  <c r="T143" i="24" s="1"/>
  <c r="O143" i="24" s="1"/>
  <c r="S302" i="24"/>
  <c r="T302" i="24" s="1"/>
  <c r="J302" i="24" s="1"/>
  <c r="S270" i="24"/>
  <c r="T270" i="24" s="1"/>
  <c r="O270" i="24" s="1"/>
  <c r="S222" i="24"/>
  <c r="T222" i="24" s="1"/>
  <c r="J222" i="24" s="1"/>
  <c r="Q206" i="24"/>
  <c r="S206" i="24"/>
  <c r="T206" i="24" s="1"/>
  <c r="Q119" i="24"/>
  <c r="S119" i="24"/>
  <c r="T119" i="24" s="1"/>
  <c r="S193" i="24"/>
  <c r="T193" i="24" s="1"/>
  <c r="O193" i="24" s="1"/>
  <c r="Q169" i="24"/>
  <c r="S169" i="24"/>
  <c r="T169" i="24" s="1"/>
  <c r="S126" i="24"/>
  <c r="T126" i="24" s="1"/>
  <c r="J126" i="24" s="1"/>
  <c r="AI126" i="24" s="1"/>
  <c r="Q208" i="24"/>
  <c r="S208" i="24"/>
  <c r="T208" i="24" s="1"/>
  <c r="Q192" i="24"/>
  <c r="S192" i="24"/>
  <c r="T192" i="24" s="1"/>
  <c r="S176" i="24"/>
  <c r="T176" i="24" s="1"/>
  <c r="O176" i="24" s="1"/>
  <c r="S160" i="24"/>
  <c r="T160" i="24" s="1"/>
  <c r="J160" i="24" s="1"/>
  <c r="AI160" i="24" s="1"/>
  <c r="S144" i="24"/>
  <c r="T144" i="24" s="1"/>
  <c r="O144" i="24" s="1"/>
  <c r="S315" i="24"/>
  <c r="T315" i="24" s="1"/>
  <c r="J315" i="24" s="1"/>
  <c r="S299" i="24"/>
  <c r="T299" i="24" s="1"/>
  <c r="O299" i="24" s="1"/>
  <c r="S283" i="24"/>
  <c r="T283" i="24" s="1"/>
  <c r="O283" i="24" s="1"/>
  <c r="S267" i="24"/>
  <c r="T267" i="24" s="1"/>
  <c r="O267" i="24" s="1"/>
  <c r="S251" i="24"/>
  <c r="T251" i="24" s="1"/>
  <c r="J251" i="24" s="1"/>
  <c r="S235" i="24"/>
  <c r="T235" i="24" s="1"/>
  <c r="J235" i="24" s="1"/>
  <c r="S219" i="24"/>
  <c r="T219" i="24" s="1"/>
  <c r="J219" i="24" s="1"/>
  <c r="CB45" i="24"/>
  <c r="CB21" i="24"/>
  <c r="CB88" i="24"/>
  <c r="CB72" i="24"/>
  <c r="CB56" i="24"/>
  <c r="CB40" i="24"/>
  <c r="CB24" i="24"/>
  <c r="CB8" i="24"/>
  <c r="CB61" i="24"/>
  <c r="CB63" i="24"/>
  <c r="CB47" i="24"/>
  <c r="CB31" i="24"/>
  <c r="CB15" i="24"/>
  <c r="CB86" i="24"/>
  <c r="CB38" i="24"/>
  <c r="CB22" i="24"/>
  <c r="CB85" i="24"/>
  <c r="CB25" i="24"/>
  <c r="CB9" i="24"/>
  <c r="CB76" i="24"/>
  <c r="CB44" i="24"/>
  <c r="CB28" i="24"/>
  <c r="CB12" i="24"/>
  <c r="CB99" i="24"/>
  <c r="CB83" i="24"/>
  <c r="CB35" i="24"/>
  <c r="CB19" i="24"/>
  <c r="CB41" i="24"/>
  <c r="CB26" i="24"/>
  <c r="CB10" i="24"/>
  <c r="Q285" i="24"/>
  <c r="Q299" i="24"/>
  <c r="Q264" i="24"/>
  <c r="CB105" i="24"/>
  <c r="CB65" i="24"/>
  <c r="CB33" i="24"/>
  <c r="CB17" i="24"/>
  <c r="CB100" i="24"/>
  <c r="CB68" i="24"/>
  <c r="CB52" i="24"/>
  <c r="CB20" i="24"/>
  <c r="CB101" i="24"/>
  <c r="CB37" i="24"/>
  <c r="CB91" i="24"/>
  <c r="CB75" i="24"/>
  <c r="CB59" i="24"/>
  <c r="CB43" i="24"/>
  <c r="CB27" i="24"/>
  <c r="CB11" i="24"/>
  <c r="CB69" i="24"/>
  <c r="CB66" i="24"/>
  <c r="CB34" i="24"/>
  <c r="CB18" i="24"/>
  <c r="Q237" i="24"/>
  <c r="Q269" i="24"/>
  <c r="Q251" i="24"/>
  <c r="Q219" i="24"/>
  <c r="Q296" i="24"/>
  <c r="Q302" i="24"/>
  <c r="Q221" i="24"/>
  <c r="Q253" i="24"/>
  <c r="Q266" i="24"/>
  <c r="CB57" i="24"/>
  <c r="CB29" i="24"/>
  <c r="CB13" i="24"/>
  <c r="CB96" i="24"/>
  <c r="CB80" i="24"/>
  <c r="CB64" i="24"/>
  <c r="CB48" i="24"/>
  <c r="CB32" i="24"/>
  <c r="CB16" i="24"/>
  <c r="CB89" i="24"/>
  <c r="CB103" i="24"/>
  <c r="CB87" i="24"/>
  <c r="CB71" i="24"/>
  <c r="CB55" i="24"/>
  <c r="CB39" i="24"/>
  <c r="CB23" i="24"/>
  <c r="CB7" i="24"/>
  <c r="CB53" i="24"/>
  <c r="CB62" i="24"/>
  <c r="CB30" i="24"/>
  <c r="CB14" i="24"/>
  <c r="Q267" i="24"/>
  <c r="Q232" i="24"/>
  <c r="Q270" i="24"/>
  <c r="Q315" i="24"/>
  <c r="Q303" i="24"/>
  <c r="Q316" i="24"/>
  <c r="Q278" i="24"/>
  <c r="Q241" i="24"/>
  <c r="Q239" i="24"/>
  <c r="Q223" i="24"/>
  <c r="Q287" i="24"/>
  <c r="Q252" i="24"/>
  <c r="Q262" i="24"/>
  <c r="Q314" i="24"/>
  <c r="Q271" i="24"/>
  <c r="Q236" i="24"/>
  <c r="Q301" i="24"/>
  <c r="Q250" i="24"/>
  <c r="Q280" i="24"/>
  <c r="Q218" i="24"/>
  <c r="Q306" i="24"/>
  <c r="Q295" i="24"/>
  <c r="Q249" i="24"/>
  <c r="Q313" i="24"/>
  <c r="Q260" i="24"/>
  <c r="Q281" i="24"/>
  <c r="Q242" i="24"/>
  <c r="Q220" i="24"/>
  <c r="Q308" i="24"/>
  <c r="Q273" i="24"/>
  <c r="Q305" i="24"/>
  <c r="Q234" i="24"/>
  <c r="Q298" i="24"/>
  <c r="Q268" i="24"/>
  <c r="Q244" i="24"/>
  <c r="Q297" i="24"/>
  <c r="Q258" i="24"/>
  <c r="Q311" i="24"/>
  <c r="Q294" i="24"/>
  <c r="Q231" i="24"/>
  <c r="Q247" i="24"/>
  <c r="Q276" i="24"/>
  <c r="P189" i="24"/>
  <c r="Q189" i="24"/>
  <c r="P124" i="24"/>
  <c r="Q124" i="24"/>
  <c r="P156" i="24"/>
  <c r="Q156" i="24"/>
  <c r="P193" i="24"/>
  <c r="Q193" i="24"/>
  <c r="Q217" i="24"/>
  <c r="Q275" i="24"/>
  <c r="Q240" i="24"/>
  <c r="Q304" i="24"/>
  <c r="Q245" i="24"/>
  <c r="Q238" i="24"/>
  <c r="P160" i="24"/>
  <c r="Q160" i="24"/>
  <c r="P143" i="24"/>
  <c r="Q143" i="24"/>
  <c r="P138" i="24"/>
  <c r="Q138" i="24"/>
  <c r="P140" i="24"/>
  <c r="Q140" i="24"/>
  <c r="P164" i="24"/>
  <c r="Q164" i="24"/>
  <c r="P121" i="24"/>
  <c r="Q121" i="24"/>
  <c r="P117" i="24"/>
  <c r="Q117" i="24"/>
  <c r="P175" i="24"/>
  <c r="Q175" i="24"/>
  <c r="P114" i="24"/>
  <c r="Q114" i="24"/>
  <c r="P132" i="24"/>
  <c r="Q132" i="24"/>
  <c r="P176" i="24"/>
  <c r="Q176" i="24"/>
  <c r="P120" i="24"/>
  <c r="Q120" i="24"/>
  <c r="P209" i="24"/>
  <c r="Q209" i="24"/>
  <c r="P191" i="24"/>
  <c r="Q191" i="24"/>
  <c r="P204" i="24"/>
  <c r="Q204" i="24"/>
  <c r="P147" i="24"/>
  <c r="Q147" i="24"/>
  <c r="P178" i="24"/>
  <c r="Q178" i="24"/>
  <c r="P151" i="24"/>
  <c r="Q151" i="24"/>
  <c r="P180" i="24"/>
  <c r="Q180" i="24"/>
  <c r="Q246" i="24"/>
  <c r="Q224" i="24"/>
  <c r="Q293" i="24"/>
  <c r="Q286" i="24"/>
  <c r="P141" i="24"/>
  <c r="Q141" i="24"/>
  <c r="P174" i="24"/>
  <c r="Q174" i="24"/>
  <c r="P133" i="24"/>
  <c r="Q133" i="24"/>
  <c r="P171" i="24"/>
  <c r="Q171" i="24"/>
  <c r="P111" i="24"/>
  <c r="Q111" i="24"/>
  <c r="P185" i="24"/>
  <c r="Q185" i="24"/>
  <c r="P173" i="24"/>
  <c r="Q173" i="24"/>
  <c r="P127" i="24"/>
  <c r="Q127" i="24"/>
  <c r="P198" i="24"/>
  <c r="Q198" i="24"/>
  <c r="P202" i="24"/>
  <c r="Q202" i="24"/>
  <c r="P153" i="24"/>
  <c r="Q153" i="24"/>
  <c r="P166" i="24"/>
  <c r="Q166" i="24"/>
  <c r="P129" i="24"/>
  <c r="Q129" i="24"/>
  <c r="P146" i="24"/>
  <c r="Q146" i="24"/>
  <c r="P113" i="24"/>
  <c r="Q113" i="24"/>
  <c r="P184" i="24"/>
  <c r="Q184" i="24"/>
  <c r="P168" i="24"/>
  <c r="Q168" i="24"/>
  <c r="P130" i="24"/>
  <c r="Q130" i="24"/>
  <c r="Q227" i="24"/>
  <c r="Q259" i="24"/>
  <c r="Q288" i="24"/>
  <c r="Q307" i="24"/>
  <c r="Q229" i="24"/>
  <c r="Q261" i="24"/>
  <c r="P195" i="24"/>
  <c r="Q195" i="24"/>
  <c r="P139" i="24"/>
  <c r="Q139" i="24"/>
  <c r="P190" i="24"/>
  <c r="Q190" i="24"/>
  <c r="P197" i="24"/>
  <c r="Q197" i="24"/>
  <c r="P118" i="24"/>
  <c r="Q118" i="24"/>
  <c r="P135" i="24"/>
  <c r="Q135" i="24"/>
  <c r="P158" i="24"/>
  <c r="Q158" i="24"/>
  <c r="P126" i="24"/>
  <c r="Q126" i="24"/>
  <c r="P200" i="24"/>
  <c r="Q200" i="24"/>
  <c r="P144" i="24"/>
  <c r="Q144" i="24"/>
  <c r="U203" i="24"/>
  <c r="U179" i="24"/>
  <c r="U162" i="24"/>
  <c r="U116" i="24"/>
  <c r="U165" i="24"/>
  <c r="U141" i="24"/>
  <c r="U206" i="24"/>
  <c r="V206" i="24" s="1"/>
  <c r="U119" i="24"/>
  <c r="V119" i="24" s="1"/>
  <c r="U169" i="24"/>
  <c r="U208" i="24"/>
  <c r="U192" i="24"/>
  <c r="U187" i="24"/>
  <c r="U125" i="24"/>
  <c r="U163" i="24"/>
  <c r="U142" i="24"/>
  <c r="V142" i="24" s="1"/>
  <c r="U183" i="24"/>
  <c r="U137" i="24"/>
  <c r="V137" i="24" s="1"/>
  <c r="U128" i="24"/>
  <c r="U194" i="24"/>
  <c r="U115" i="24"/>
  <c r="U161" i="24"/>
  <c r="V161" i="24" s="1"/>
  <c r="U122" i="24"/>
  <c r="V122" i="24" s="1"/>
  <c r="U188" i="24"/>
  <c r="V188" i="24" s="1"/>
  <c r="U172" i="24"/>
  <c r="U207" i="24"/>
  <c r="U186" i="24"/>
  <c r="U170" i="24"/>
  <c r="V170" i="24" s="1"/>
  <c r="U154" i="24"/>
  <c r="U167" i="24"/>
  <c r="U149" i="24"/>
  <c r="V149" i="24" s="1"/>
  <c r="U159" i="24"/>
  <c r="U112" i="24"/>
  <c r="U205" i="24"/>
  <c r="U181" i="24"/>
  <c r="V181" i="24" s="1"/>
  <c r="U157" i="24"/>
  <c r="V157" i="24" s="1"/>
  <c r="U184" i="24"/>
  <c r="V184" i="24" s="1"/>
  <c r="U152" i="24"/>
  <c r="U136" i="24"/>
  <c r="V136" i="24" s="1"/>
  <c r="U199" i="24"/>
  <c r="U131" i="24"/>
  <c r="U182" i="24"/>
  <c r="V182" i="24" s="1"/>
  <c r="U150" i="24"/>
  <c r="V150" i="24" s="1"/>
  <c r="U134" i="24"/>
  <c r="V134" i="24" s="1"/>
  <c r="U155" i="24"/>
  <c r="V155" i="24" s="1"/>
  <c r="U123" i="24"/>
  <c r="U145" i="24"/>
  <c r="V145" i="24" s="1"/>
  <c r="U210" i="24"/>
  <c r="V210" i="24" s="1"/>
  <c r="U201" i="24"/>
  <c r="U177" i="24"/>
  <c r="V177" i="24" s="1"/>
  <c r="U196" i="24"/>
  <c r="V196" i="24" s="1"/>
  <c r="U148" i="24"/>
  <c r="V148" i="24" s="1"/>
  <c r="T117" i="25"/>
  <c r="T126" i="25"/>
  <c r="T127" i="25"/>
  <c r="T133" i="25"/>
  <c r="T141" i="25"/>
  <c r="T149" i="25"/>
  <c r="T157" i="25"/>
  <c r="T165" i="25"/>
  <c r="T173" i="25"/>
  <c r="T181" i="25"/>
  <c r="T189" i="25"/>
  <c r="T197" i="25"/>
  <c r="T142" i="25"/>
  <c r="T158" i="25"/>
  <c r="T190" i="25"/>
  <c r="T278" i="25"/>
  <c r="T139" i="25"/>
  <c r="T155" i="25"/>
  <c r="T171" i="25"/>
  <c r="T187" i="25"/>
  <c r="T209" i="25"/>
  <c r="T203" i="25"/>
  <c r="T258" i="25"/>
  <c r="T208" i="25"/>
  <c r="T245" i="25"/>
  <c r="T316" i="25"/>
  <c r="T281" i="25"/>
  <c r="T288" i="25"/>
  <c r="T306" i="25"/>
  <c r="T125" i="25"/>
  <c r="T128" i="25"/>
  <c r="T176" i="25"/>
  <c r="T146" i="25"/>
  <c r="T260" i="25"/>
  <c r="T271" i="25"/>
  <c r="T310" i="25"/>
  <c r="T121" i="25"/>
  <c r="T124" i="25"/>
  <c r="T118" i="25"/>
  <c r="T273" i="25"/>
  <c r="T145" i="25"/>
  <c r="T169" i="25"/>
  <c r="T177" i="25"/>
  <c r="T150" i="25"/>
  <c r="T198" i="25"/>
  <c r="T229" i="25"/>
  <c r="T131" i="25"/>
  <c r="T147" i="25"/>
  <c r="T163" i="25"/>
  <c r="T195" i="25"/>
  <c r="T205" i="25"/>
  <c r="T234" i="25"/>
  <c r="T266" i="25"/>
  <c r="T200" i="25"/>
  <c r="T280" i="25"/>
  <c r="T275" i="25"/>
  <c r="T314" i="25"/>
  <c r="T152" i="25"/>
  <c r="T184" i="25"/>
  <c r="T162" i="25"/>
  <c r="T202" i="25"/>
  <c r="T207" i="25"/>
  <c r="T292" i="25"/>
  <c r="T113" i="25"/>
  <c r="T122" i="25"/>
  <c r="T277" i="25"/>
  <c r="T132" i="25"/>
  <c r="T148" i="25"/>
  <c r="T156" i="25"/>
  <c r="T172" i="25"/>
  <c r="T180" i="25"/>
  <c r="T188" i="25"/>
  <c r="T138" i="25"/>
  <c r="T170" i="25"/>
  <c r="T256" i="25"/>
  <c r="T151" i="25"/>
  <c r="T183" i="25"/>
  <c r="T204" i="25"/>
  <c r="T309" i="25"/>
  <c r="T279" i="25"/>
  <c r="T120" i="25"/>
  <c r="T114" i="25"/>
  <c r="T168" i="25"/>
  <c r="T192" i="25"/>
  <c r="U204" i="24"/>
  <c r="V204" i="24" s="1"/>
  <c r="U120" i="24"/>
  <c r="V120" i="24" s="1"/>
  <c r="U209" i="24"/>
  <c r="V209" i="24" s="1"/>
  <c r="U175" i="24"/>
  <c r="U113" i="24"/>
  <c r="U202" i="24"/>
  <c r="V202" i="24" s="1"/>
  <c r="U198" i="24"/>
  <c r="U153" i="24"/>
  <c r="V153" i="24" s="1"/>
  <c r="U176" i="24"/>
  <c r="T111" i="25"/>
  <c r="T123" i="25"/>
  <c r="T140" i="25"/>
  <c r="T167" i="25"/>
  <c r="T206" i="25"/>
  <c r="T274" i="25"/>
  <c r="T136" i="25"/>
  <c r="T144" i="25"/>
  <c r="U191" i="24"/>
  <c r="U166" i="24"/>
  <c r="V166" i="24" s="1"/>
  <c r="U173" i="24"/>
  <c r="U127" i="24"/>
  <c r="V127" i="24" s="1"/>
  <c r="U114" i="24"/>
  <c r="V114" i="24" s="1"/>
  <c r="U132" i="24"/>
  <c r="T112" i="25"/>
  <c r="T196" i="25"/>
  <c r="T186" i="25"/>
  <c r="T135" i="25"/>
  <c r="T199" i="25"/>
  <c r="T143" i="25"/>
  <c r="T210" i="25"/>
  <c r="U117" i="24"/>
  <c r="V117" i="24" s="1"/>
  <c r="U185" i="24"/>
  <c r="T129" i="25"/>
  <c r="T153" i="25"/>
  <c r="T166" i="25"/>
  <c r="T179" i="25"/>
  <c r="T222" i="25"/>
  <c r="T230" i="25"/>
  <c r="T217" i="25"/>
  <c r="T232" i="25"/>
  <c r="T240" i="25"/>
  <c r="T264" i="25"/>
  <c r="T224" i="25"/>
  <c r="T308" i="25"/>
  <c r="T238" i="25"/>
  <c r="T257" i="25"/>
  <c r="T294" i="25"/>
  <c r="T284" i="25"/>
  <c r="T300" i="25"/>
  <c r="T304" i="25"/>
  <c r="T225" i="25"/>
  <c r="T252" i="25"/>
  <c r="T246" i="25"/>
  <c r="T299" i="25"/>
  <c r="T276" i="25"/>
  <c r="T227" i="25"/>
  <c r="T270" i="25"/>
  <c r="T220" i="25"/>
  <c r="T298" i="25"/>
  <c r="T250" i="25"/>
  <c r="T286" i="25"/>
  <c r="T289" i="25"/>
  <c r="T311" i="25"/>
  <c r="T295" i="25"/>
  <c r="T243" i="25"/>
  <c r="T251" i="25"/>
  <c r="T228" i="25"/>
  <c r="T305" i="25"/>
  <c r="T219" i="25"/>
  <c r="T239" i="25"/>
  <c r="T263" i="25"/>
  <c r="T253" i="25"/>
  <c r="T303" i="25"/>
  <c r="U129" i="24"/>
  <c r="V129" i="24" s="1"/>
  <c r="U146" i="24"/>
  <c r="V146" i="24" s="1"/>
  <c r="U190" i="24"/>
  <c r="V190" i="24" s="1"/>
  <c r="U250" i="24"/>
  <c r="V250" i="24" s="1"/>
  <c r="U218" i="24"/>
  <c r="U301" i="24"/>
  <c r="V301" i="24" s="1"/>
  <c r="U285" i="24"/>
  <c r="V285" i="24" s="1"/>
  <c r="U269" i="24"/>
  <c r="V269" i="24" s="1"/>
  <c r="U253" i="24"/>
  <c r="V253" i="24" s="1"/>
  <c r="U237" i="24"/>
  <c r="U221" i="24"/>
  <c r="V221" i="24" s="1"/>
  <c r="U266" i="24"/>
  <c r="V266" i="24" s="1"/>
  <c r="U296" i="24"/>
  <c r="U280" i="24"/>
  <c r="V280" i="24" s="1"/>
  <c r="U264" i="24"/>
  <c r="U232" i="24"/>
  <c r="U143" i="24"/>
  <c r="U302" i="24"/>
  <c r="U270" i="24"/>
  <c r="U126" i="24"/>
  <c r="U144" i="24"/>
  <c r="V144" i="24" s="1"/>
  <c r="U315" i="24"/>
  <c r="V315" i="24" s="1"/>
  <c r="U299" i="24"/>
  <c r="U267" i="24"/>
  <c r="U251" i="24"/>
  <c r="V251" i="24" s="1"/>
  <c r="U219" i="24"/>
  <c r="V219" i="24" s="1"/>
  <c r="T164" i="25"/>
  <c r="T154" i="25"/>
  <c r="T248" i="25"/>
  <c r="T254" i="25"/>
  <c r="T283" i="25"/>
  <c r="T241" i="25"/>
  <c r="T293" i="25"/>
  <c r="T315" i="25"/>
  <c r="U158" i="24"/>
  <c r="U197" i="24"/>
  <c r="U135" i="24"/>
  <c r="V135" i="24" s="1"/>
  <c r="U189" i="24"/>
  <c r="T231" i="25"/>
  <c r="T290" i="25"/>
  <c r="T221" i="25"/>
  <c r="T242" i="25"/>
  <c r="T261" i="25"/>
  <c r="T272" i="25"/>
  <c r="T297" i="25"/>
  <c r="U147" i="24"/>
  <c r="U138" i="24"/>
  <c r="V138" i="24" s="1"/>
  <c r="U118" i="24"/>
  <c r="V118" i="24" s="1"/>
  <c r="U200" i="24"/>
  <c r="T236" i="25"/>
  <c r="T268" i="25"/>
  <c r="T282" i="25"/>
  <c r="T262" i="25"/>
  <c r="T233" i="25"/>
  <c r="T249" i="25"/>
  <c r="T265" i="25"/>
  <c r="T285" i="25"/>
  <c r="T312" i="25"/>
  <c r="T307" i="25"/>
  <c r="T302" i="25"/>
  <c r="N216" i="24"/>
  <c r="Q216" i="24" s="1"/>
  <c r="U216" i="24"/>
  <c r="V216" i="24" s="1"/>
  <c r="U312" i="24"/>
  <c r="U235" i="24"/>
  <c r="J77" i="23"/>
  <c r="L77" i="23" s="1"/>
  <c r="U294" i="24"/>
  <c r="U242" i="24"/>
  <c r="V242" i="24" s="1"/>
  <c r="U174" i="24"/>
  <c r="V174" i="24" s="1"/>
  <c r="U313" i="24"/>
  <c r="V313" i="24" s="1"/>
  <c r="U297" i="24"/>
  <c r="V297" i="24" s="1"/>
  <c r="U281" i="24"/>
  <c r="V281" i="24" s="1"/>
  <c r="U265" i="24"/>
  <c r="V265" i="24" s="1"/>
  <c r="U249" i="24"/>
  <c r="V249" i="24" s="1"/>
  <c r="U233" i="24"/>
  <c r="V233" i="24" s="1"/>
  <c r="U306" i="24"/>
  <c r="U254" i="24"/>
  <c r="U308" i="24"/>
  <c r="U292" i="24"/>
  <c r="V292" i="24" s="1"/>
  <c r="U276" i="24"/>
  <c r="U260" i="24"/>
  <c r="V260" i="24" s="1"/>
  <c r="U244" i="24"/>
  <c r="U228" i="24"/>
  <c r="V228" i="24" s="1"/>
  <c r="U171" i="24"/>
  <c r="V171" i="24" s="1"/>
  <c r="U298" i="24"/>
  <c r="V298" i="24" s="1"/>
  <c r="U258" i="24"/>
  <c r="V258" i="24" s="1"/>
  <c r="U156" i="24"/>
  <c r="U140" i="24"/>
  <c r="U311" i="24"/>
  <c r="V311" i="24" s="1"/>
  <c r="U295" i="24"/>
  <c r="V295" i="24" s="1"/>
  <c r="U279" i="24"/>
  <c r="U263" i="24"/>
  <c r="V263" i="24" s="1"/>
  <c r="U247" i="24"/>
  <c r="U231" i="24"/>
  <c r="T223" i="25"/>
  <c r="T235" i="25"/>
  <c r="T259" i="25"/>
  <c r="T267" i="25"/>
  <c r="T291" i="25"/>
  <c r="T301" i="25"/>
  <c r="O216" i="25"/>
  <c r="S216" i="25" s="1"/>
  <c r="K216" i="25" s="1"/>
  <c r="T216" i="25"/>
  <c r="U216" i="25" s="1"/>
  <c r="U283" i="24"/>
  <c r="V283" i="24" s="1"/>
  <c r="U282" i="24"/>
  <c r="V282" i="24" s="1"/>
  <c r="U226" i="24"/>
  <c r="V226" i="24" s="1"/>
  <c r="U309" i="24"/>
  <c r="U293" i="24"/>
  <c r="V293" i="24" s="1"/>
  <c r="U277" i="24"/>
  <c r="V277" i="24" s="1"/>
  <c r="U261" i="24"/>
  <c r="U245" i="24"/>
  <c r="U229" i="24"/>
  <c r="V229" i="24" s="1"/>
  <c r="U290" i="24"/>
  <c r="V290" i="24" s="1"/>
  <c r="U238" i="24"/>
  <c r="V238" i="24" s="1"/>
  <c r="U133" i="24"/>
  <c r="U304" i="24"/>
  <c r="U288" i="24"/>
  <c r="V288" i="24" s="1"/>
  <c r="U272" i="24"/>
  <c r="V272" i="24" s="1"/>
  <c r="U256" i="24"/>
  <c r="U240" i="24"/>
  <c r="V240" i="24" s="1"/>
  <c r="U224" i="24"/>
  <c r="V224" i="24" s="1"/>
  <c r="U217" i="24"/>
  <c r="V217" i="24" s="1"/>
  <c r="U286" i="24"/>
  <c r="U246" i="24"/>
  <c r="U307" i="24"/>
  <c r="V307" i="24" s="1"/>
  <c r="U291" i="24"/>
  <c r="V291" i="24" s="1"/>
  <c r="U275" i="24"/>
  <c r="V275" i="24" s="1"/>
  <c r="U259" i="24"/>
  <c r="V259" i="24" s="1"/>
  <c r="U243" i="24"/>
  <c r="U227" i="24"/>
  <c r="T218" i="25"/>
  <c r="T226" i="25"/>
  <c r="T269" i="25"/>
  <c r="T115" i="25"/>
  <c r="T194" i="25"/>
  <c r="T244" i="25"/>
  <c r="T287" i="25"/>
  <c r="T175" i="25"/>
  <c r="T191" i="25"/>
  <c r="U310" i="24"/>
  <c r="U248" i="24"/>
  <c r="V248" i="24" s="1"/>
  <c r="U222" i="24"/>
  <c r="U262" i="24"/>
  <c r="U111" i="24"/>
  <c r="U305" i="24"/>
  <c r="V305" i="24" s="1"/>
  <c r="U289" i="24"/>
  <c r="V289" i="24" s="1"/>
  <c r="U273" i="24"/>
  <c r="V273" i="24" s="1"/>
  <c r="U257" i="24"/>
  <c r="V257" i="24" s="1"/>
  <c r="U241" i="24"/>
  <c r="V241" i="24" s="1"/>
  <c r="U225" i="24"/>
  <c r="V225" i="24" s="1"/>
  <c r="U278" i="24"/>
  <c r="V278" i="24" s="1"/>
  <c r="U230" i="24"/>
  <c r="V230" i="24" s="1"/>
  <c r="U316" i="24"/>
  <c r="U300" i="24"/>
  <c r="U284" i="24"/>
  <c r="U268" i="24"/>
  <c r="V268" i="24" s="1"/>
  <c r="U252" i="24"/>
  <c r="V252" i="24" s="1"/>
  <c r="U236" i="24"/>
  <c r="V236" i="24" s="1"/>
  <c r="U220" i="24"/>
  <c r="V220" i="24" s="1"/>
  <c r="U314" i="24"/>
  <c r="U274" i="24"/>
  <c r="U234" i="24"/>
  <c r="V234" i="24" s="1"/>
  <c r="U303" i="24"/>
  <c r="V303" i="24" s="1"/>
  <c r="U287" i="24"/>
  <c r="V287" i="24" s="1"/>
  <c r="U271" i="24"/>
  <c r="V271" i="24" s="1"/>
  <c r="U255" i="24"/>
  <c r="U239" i="24"/>
  <c r="V239" i="24" s="1"/>
  <c r="U223" i="24"/>
  <c r="T119" i="25"/>
  <c r="T137" i="25"/>
  <c r="T193" i="25"/>
  <c r="T134" i="25"/>
  <c r="T247" i="25"/>
  <c r="T255" i="25"/>
  <c r="T237" i="25"/>
  <c r="T313" i="25"/>
  <c r="T296" i="25"/>
  <c r="BM65" i="24"/>
  <c r="BP65" i="24" s="1"/>
  <c r="U65" i="24"/>
  <c r="V65" i="24" s="1"/>
  <c r="BM17" i="24"/>
  <c r="BP17" i="24" s="1"/>
  <c r="U17" i="24"/>
  <c r="V17" i="24" s="1"/>
  <c r="BM68" i="24"/>
  <c r="BP68" i="24" s="1"/>
  <c r="U68" i="24"/>
  <c r="BM20" i="24"/>
  <c r="BP20" i="24" s="1"/>
  <c r="U20" i="24"/>
  <c r="BM91" i="24"/>
  <c r="BP91" i="24" s="1"/>
  <c r="U91" i="24"/>
  <c r="BM43" i="24"/>
  <c r="BP43" i="24" s="1"/>
  <c r="U43" i="24"/>
  <c r="BM69" i="24"/>
  <c r="BP69" i="24" s="1"/>
  <c r="U69" i="24"/>
  <c r="V69" i="24" s="1"/>
  <c r="BM66" i="24"/>
  <c r="BP66" i="24" s="1"/>
  <c r="U66" i="24"/>
  <c r="BM50" i="24"/>
  <c r="BP50" i="24" s="1"/>
  <c r="U50" i="24"/>
  <c r="BM18" i="24"/>
  <c r="BP18" i="24" s="1"/>
  <c r="U18" i="24"/>
  <c r="BM97" i="24"/>
  <c r="BP97" i="24" s="1"/>
  <c r="U97" i="24"/>
  <c r="V97" i="24" s="1"/>
  <c r="BM57" i="24"/>
  <c r="BP57" i="24" s="1"/>
  <c r="U57" i="24"/>
  <c r="BM29" i="24"/>
  <c r="BP29" i="24" s="1"/>
  <c r="U29" i="24"/>
  <c r="BM13" i="24"/>
  <c r="BP13" i="24" s="1"/>
  <c r="U13" i="24"/>
  <c r="BM96" i="24"/>
  <c r="BP96" i="24" s="1"/>
  <c r="U96" i="24"/>
  <c r="BM80" i="24"/>
  <c r="BP80" i="24" s="1"/>
  <c r="U80" i="24"/>
  <c r="V80" i="24" s="1"/>
  <c r="BM64" i="24"/>
  <c r="BP64" i="24" s="1"/>
  <c r="U64" i="24"/>
  <c r="BM48" i="24"/>
  <c r="BP48" i="24" s="1"/>
  <c r="U48" i="24"/>
  <c r="BM32" i="24"/>
  <c r="BP32" i="24" s="1"/>
  <c r="U32" i="24"/>
  <c r="V32" i="24" s="1"/>
  <c r="BM16" i="24"/>
  <c r="BP16" i="24" s="1"/>
  <c r="U16" i="24"/>
  <c r="BM89" i="24"/>
  <c r="BP89" i="24" s="1"/>
  <c r="U89" i="24"/>
  <c r="V89" i="24" s="1"/>
  <c r="BM103" i="24"/>
  <c r="BP103" i="24" s="1"/>
  <c r="U103" i="24"/>
  <c r="BM87" i="24"/>
  <c r="BP87" i="24" s="1"/>
  <c r="U87" i="24"/>
  <c r="BM71" i="24"/>
  <c r="BP71" i="24" s="1"/>
  <c r="U71" i="24"/>
  <c r="BM55" i="24"/>
  <c r="BP55" i="24" s="1"/>
  <c r="U55" i="24"/>
  <c r="V55" i="24" s="1"/>
  <c r="BM39" i="24"/>
  <c r="BP39" i="24" s="1"/>
  <c r="U39" i="24"/>
  <c r="BM23" i="24"/>
  <c r="BP23" i="24" s="1"/>
  <c r="U23" i="24"/>
  <c r="BM7" i="24"/>
  <c r="BP7" i="24" s="1"/>
  <c r="U7" i="24"/>
  <c r="BM53" i="24"/>
  <c r="BP53" i="24" s="1"/>
  <c r="U53" i="24"/>
  <c r="BM94" i="24"/>
  <c r="BP94" i="24" s="1"/>
  <c r="U94" i="24"/>
  <c r="BM78" i="24"/>
  <c r="BP78" i="24" s="1"/>
  <c r="U78" i="24"/>
  <c r="BM62" i="24"/>
  <c r="BP62" i="24" s="1"/>
  <c r="U62" i="24"/>
  <c r="BM46" i="24"/>
  <c r="BP46" i="24" s="1"/>
  <c r="U46" i="24"/>
  <c r="BM30" i="24"/>
  <c r="BP30" i="24" s="1"/>
  <c r="U30" i="24"/>
  <c r="BM14" i="24"/>
  <c r="BP14" i="24" s="1"/>
  <c r="U14" i="24"/>
  <c r="BM105" i="24"/>
  <c r="BP105" i="24" s="1"/>
  <c r="U105" i="24"/>
  <c r="BM100" i="24"/>
  <c r="BP100" i="24" s="1"/>
  <c r="U100" i="24"/>
  <c r="BM52" i="24"/>
  <c r="BP52" i="24" s="1"/>
  <c r="U52" i="24"/>
  <c r="BM101" i="24"/>
  <c r="BP101" i="24" s="1"/>
  <c r="U101" i="24"/>
  <c r="V101" i="24" s="1"/>
  <c r="BM59" i="24"/>
  <c r="BP59" i="24" s="1"/>
  <c r="U59" i="24"/>
  <c r="V59" i="24" s="1"/>
  <c r="BM11" i="24"/>
  <c r="BP11" i="24" s="1"/>
  <c r="U11" i="24"/>
  <c r="V11" i="24" s="1"/>
  <c r="BM82" i="24"/>
  <c r="BP82" i="24" s="1"/>
  <c r="U82" i="24"/>
  <c r="BM34" i="24"/>
  <c r="BP34" i="24" s="1"/>
  <c r="U34" i="24"/>
  <c r="BM85" i="24"/>
  <c r="BP85" i="24" s="1"/>
  <c r="U85" i="24"/>
  <c r="BM49" i="24"/>
  <c r="BP49" i="24" s="1"/>
  <c r="U49" i="24"/>
  <c r="BM25" i="24"/>
  <c r="BP25" i="24" s="1"/>
  <c r="U25" i="24"/>
  <c r="BM9" i="24"/>
  <c r="BP9" i="24" s="1"/>
  <c r="U9" i="24"/>
  <c r="BM92" i="24"/>
  <c r="BP92" i="24" s="1"/>
  <c r="U92" i="24"/>
  <c r="BM76" i="24"/>
  <c r="BP76" i="24" s="1"/>
  <c r="U76" i="24"/>
  <c r="BM60" i="24"/>
  <c r="BP60" i="24" s="1"/>
  <c r="U60" i="24"/>
  <c r="BM44" i="24"/>
  <c r="BP44" i="24" s="1"/>
  <c r="U44" i="24"/>
  <c r="V44" i="24" s="1"/>
  <c r="BM28" i="24"/>
  <c r="BP28" i="24" s="1"/>
  <c r="U28" i="24"/>
  <c r="BM12" i="24"/>
  <c r="BP12" i="24" s="1"/>
  <c r="U12" i="24"/>
  <c r="BM73" i="24"/>
  <c r="BP73" i="24" s="1"/>
  <c r="U73" i="24"/>
  <c r="BM99" i="24"/>
  <c r="BP99" i="24" s="1"/>
  <c r="U99" i="24"/>
  <c r="BM83" i="24"/>
  <c r="BP83" i="24" s="1"/>
  <c r="U83" i="24"/>
  <c r="BM67" i="24"/>
  <c r="BP67" i="24" s="1"/>
  <c r="U67" i="24"/>
  <c r="BM51" i="24"/>
  <c r="BP51" i="24" s="1"/>
  <c r="U51" i="24"/>
  <c r="V51" i="24" s="1"/>
  <c r="BM35" i="24"/>
  <c r="BP35" i="24" s="1"/>
  <c r="U35" i="24"/>
  <c r="BM19" i="24"/>
  <c r="BP19" i="24" s="1"/>
  <c r="U19" i="24"/>
  <c r="BM93" i="24"/>
  <c r="BP93" i="24" s="1"/>
  <c r="U93" i="24"/>
  <c r="BM41" i="24"/>
  <c r="BP41" i="24" s="1"/>
  <c r="U41" i="24"/>
  <c r="BM90" i="24"/>
  <c r="BP90" i="24" s="1"/>
  <c r="U90" i="24"/>
  <c r="BM74" i="24"/>
  <c r="BP74" i="24" s="1"/>
  <c r="U74" i="24"/>
  <c r="BM58" i="24"/>
  <c r="BP58" i="24" s="1"/>
  <c r="U58" i="24"/>
  <c r="BM42" i="24"/>
  <c r="BP42" i="24" s="1"/>
  <c r="U42" i="24"/>
  <c r="BM26" i="24"/>
  <c r="BP26" i="24" s="1"/>
  <c r="U26" i="24"/>
  <c r="BM10" i="24"/>
  <c r="BP10" i="24" s="1"/>
  <c r="U10" i="24"/>
  <c r="BM33" i="24"/>
  <c r="BP33" i="24" s="1"/>
  <c r="U33" i="24"/>
  <c r="BM84" i="24"/>
  <c r="BP84" i="24" s="1"/>
  <c r="U84" i="24"/>
  <c r="BM36" i="24"/>
  <c r="BP36" i="24" s="1"/>
  <c r="U36" i="24"/>
  <c r="V36" i="24" s="1"/>
  <c r="BM37" i="24"/>
  <c r="BP37" i="24" s="1"/>
  <c r="U37" i="24"/>
  <c r="BM75" i="24"/>
  <c r="BP75" i="24" s="1"/>
  <c r="U75" i="24"/>
  <c r="BM27" i="24"/>
  <c r="BP27" i="24" s="1"/>
  <c r="U27" i="24"/>
  <c r="BM98" i="24"/>
  <c r="BP98" i="24" s="1"/>
  <c r="U98" i="24"/>
  <c r="V98" i="24" s="1"/>
  <c r="BM77" i="24"/>
  <c r="BP77" i="24" s="1"/>
  <c r="U77" i="24"/>
  <c r="BM45" i="24"/>
  <c r="BP45" i="24" s="1"/>
  <c r="U45" i="24"/>
  <c r="BM21" i="24"/>
  <c r="BP21" i="24" s="1"/>
  <c r="U21" i="24"/>
  <c r="BM104" i="24"/>
  <c r="BP104" i="24" s="1"/>
  <c r="U104" i="24"/>
  <c r="BM88" i="24"/>
  <c r="BP88" i="24" s="1"/>
  <c r="U88" i="24"/>
  <c r="BM72" i="24"/>
  <c r="BP72" i="24" s="1"/>
  <c r="U72" i="24"/>
  <c r="BM56" i="24"/>
  <c r="BP56" i="24" s="1"/>
  <c r="U56" i="24"/>
  <c r="V56" i="24" s="1"/>
  <c r="BM40" i="24"/>
  <c r="BP40" i="24" s="1"/>
  <c r="U40" i="24"/>
  <c r="BM24" i="24"/>
  <c r="BP24" i="24" s="1"/>
  <c r="U24" i="24"/>
  <c r="BM8" i="24"/>
  <c r="BP8" i="24" s="1"/>
  <c r="U8" i="24"/>
  <c r="BM61" i="24"/>
  <c r="BP61" i="24" s="1"/>
  <c r="U61" i="24"/>
  <c r="BM95" i="24"/>
  <c r="BP95" i="24" s="1"/>
  <c r="U95" i="24"/>
  <c r="BM79" i="24"/>
  <c r="BP79" i="24" s="1"/>
  <c r="U79" i="24"/>
  <c r="BM63" i="24"/>
  <c r="BP63" i="24" s="1"/>
  <c r="U63" i="24"/>
  <c r="BM47" i="24"/>
  <c r="BP47" i="24" s="1"/>
  <c r="U47" i="24"/>
  <c r="BM31" i="24"/>
  <c r="BP31" i="24" s="1"/>
  <c r="U31" i="24"/>
  <c r="BM15" i="24"/>
  <c r="BP15" i="24" s="1"/>
  <c r="U15" i="24"/>
  <c r="BM81" i="24"/>
  <c r="BP81" i="24" s="1"/>
  <c r="U81" i="24"/>
  <c r="BM102" i="24"/>
  <c r="BP102" i="24" s="1"/>
  <c r="U102" i="24"/>
  <c r="V102" i="24" s="1"/>
  <c r="BM86" i="24"/>
  <c r="BP86" i="24" s="1"/>
  <c r="U86" i="24"/>
  <c r="BM70" i="24"/>
  <c r="BP70" i="24" s="1"/>
  <c r="U70" i="24"/>
  <c r="V70" i="24" s="1"/>
  <c r="BM54" i="24"/>
  <c r="BP54" i="24" s="1"/>
  <c r="U54" i="24"/>
  <c r="BM38" i="24"/>
  <c r="BP38" i="24" s="1"/>
  <c r="U38" i="24"/>
  <c r="BM22" i="24"/>
  <c r="BP22" i="24" s="1"/>
  <c r="U22" i="24"/>
  <c r="V22" i="24" s="1"/>
  <c r="BM6" i="24"/>
  <c r="BP6" i="24" s="1"/>
  <c r="U6" i="24"/>
  <c r="BK26" i="25"/>
  <c r="BO26" i="25" s="1"/>
  <c r="T26" i="25"/>
  <c r="BK36" i="25"/>
  <c r="BO36" i="25" s="1"/>
  <c r="T36" i="25"/>
  <c r="BK46" i="25"/>
  <c r="BO46" i="25" s="1"/>
  <c r="T46" i="25"/>
  <c r="BK41" i="25"/>
  <c r="BO41" i="25" s="1"/>
  <c r="T41" i="25"/>
  <c r="BK81" i="25"/>
  <c r="BO81" i="25" s="1"/>
  <c r="T81" i="25"/>
  <c r="BK16" i="25"/>
  <c r="BO16" i="25" s="1"/>
  <c r="T16" i="25"/>
  <c r="BK32" i="25"/>
  <c r="BO32" i="25" s="1"/>
  <c r="T32" i="25"/>
  <c r="BK52" i="25"/>
  <c r="BO52" i="25" s="1"/>
  <c r="T52" i="25"/>
  <c r="BK68" i="25"/>
  <c r="BO68" i="25" s="1"/>
  <c r="T68" i="25"/>
  <c r="BK84" i="25"/>
  <c r="BO84" i="25" s="1"/>
  <c r="T84" i="25"/>
  <c r="BK66" i="25"/>
  <c r="BO66" i="25" s="1"/>
  <c r="T66" i="25"/>
  <c r="BK82" i="25"/>
  <c r="BO82" i="25" s="1"/>
  <c r="T82" i="25"/>
  <c r="BK9" i="25"/>
  <c r="BO9" i="25" s="1"/>
  <c r="T9" i="25"/>
  <c r="BK17" i="25"/>
  <c r="BO17" i="25" s="1"/>
  <c r="T17" i="25"/>
  <c r="BK49" i="25"/>
  <c r="BO49" i="25" s="1"/>
  <c r="T49" i="25"/>
  <c r="BK73" i="25"/>
  <c r="BO73" i="25" s="1"/>
  <c r="T73" i="25"/>
  <c r="BK23" i="25"/>
  <c r="BO23" i="25" s="1"/>
  <c r="T23" i="25"/>
  <c r="BK43" i="25"/>
  <c r="BO43" i="25" s="1"/>
  <c r="T43" i="25"/>
  <c r="BK59" i="25"/>
  <c r="BO59" i="25" s="1"/>
  <c r="T59" i="25"/>
  <c r="BK75" i="25"/>
  <c r="BO75" i="25" s="1"/>
  <c r="T75" i="25"/>
  <c r="BK94" i="25"/>
  <c r="BO94" i="25" s="1"/>
  <c r="T94" i="25"/>
  <c r="BK98" i="25"/>
  <c r="BO98" i="25" s="1"/>
  <c r="T98" i="25"/>
  <c r="BK102" i="25"/>
  <c r="BO102" i="25" s="1"/>
  <c r="T102" i="25"/>
  <c r="BK14" i="25"/>
  <c r="BO14" i="25" s="1"/>
  <c r="T14" i="25"/>
  <c r="BK30" i="25"/>
  <c r="BO30" i="25" s="1"/>
  <c r="T30" i="25"/>
  <c r="BK37" i="25"/>
  <c r="BO37" i="25" s="1"/>
  <c r="T37" i="25"/>
  <c r="BK50" i="25"/>
  <c r="BO50" i="25" s="1"/>
  <c r="T50" i="25"/>
  <c r="BK45" i="25"/>
  <c r="BO45" i="25" s="1"/>
  <c r="T45" i="25"/>
  <c r="BK89" i="25"/>
  <c r="BO89" i="25" s="1"/>
  <c r="T89" i="25"/>
  <c r="BK20" i="25"/>
  <c r="BO20" i="25" s="1"/>
  <c r="T20" i="25"/>
  <c r="BK40" i="25"/>
  <c r="BO40" i="25" s="1"/>
  <c r="T40" i="25"/>
  <c r="BK56" i="25"/>
  <c r="BO56" i="25" s="1"/>
  <c r="T56" i="25"/>
  <c r="BK72" i="25"/>
  <c r="BO72" i="25" s="1"/>
  <c r="T72" i="25"/>
  <c r="BK88" i="25"/>
  <c r="BO88" i="25" s="1"/>
  <c r="T88" i="25"/>
  <c r="BK70" i="25"/>
  <c r="BO70" i="25" s="1"/>
  <c r="T70" i="25"/>
  <c r="BK86" i="25"/>
  <c r="BO86" i="25" s="1"/>
  <c r="T86" i="25"/>
  <c r="BK10" i="25"/>
  <c r="BO10" i="25" s="1"/>
  <c r="T10" i="25"/>
  <c r="BK25" i="25"/>
  <c r="BO25" i="25" s="1"/>
  <c r="T25" i="25"/>
  <c r="BK57" i="25"/>
  <c r="BO57" i="25" s="1"/>
  <c r="T57" i="25"/>
  <c r="BK77" i="25"/>
  <c r="BO77" i="25" s="1"/>
  <c r="T77" i="25"/>
  <c r="BK27" i="25"/>
  <c r="BO27" i="25" s="1"/>
  <c r="T27" i="25"/>
  <c r="BK47" i="25"/>
  <c r="BO47" i="25" s="1"/>
  <c r="T47" i="25"/>
  <c r="BK63" i="25"/>
  <c r="BO63" i="25" s="1"/>
  <c r="T63" i="25"/>
  <c r="BK79" i="25"/>
  <c r="BO79" i="25" s="1"/>
  <c r="T79" i="25"/>
  <c r="BK91" i="25"/>
  <c r="BO91" i="25" s="1"/>
  <c r="T91" i="25"/>
  <c r="BK95" i="25"/>
  <c r="BO95" i="25" s="1"/>
  <c r="T95" i="25"/>
  <c r="BK99" i="25"/>
  <c r="BO99" i="25" s="1"/>
  <c r="T99" i="25"/>
  <c r="BK103" i="25"/>
  <c r="BO103" i="25" s="1"/>
  <c r="T103" i="25"/>
  <c r="BK18" i="25"/>
  <c r="BO18" i="25" s="1"/>
  <c r="T18" i="25"/>
  <c r="BK38" i="25"/>
  <c r="BO38" i="25" s="1"/>
  <c r="T38" i="25"/>
  <c r="BK58" i="25"/>
  <c r="BO58" i="25" s="1"/>
  <c r="T58" i="25"/>
  <c r="BK53" i="25"/>
  <c r="BO53" i="25" s="1"/>
  <c r="T53" i="25"/>
  <c r="BK24" i="25"/>
  <c r="BO24" i="25" s="1"/>
  <c r="T24" i="25"/>
  <c r="BK60" i="25"/>
  <c r="BO60" i="25" s="1"/>
  <c r="T60" i="25"/>
  <c r="BK76" i="25"/>
  <c r="BO76" i="25" s="1"/>
  <c r="T76" i="25"/>
  <c r="BK54" i="25"/>
  <c r="BO54" i="25" s="1"/>
  <c r="T54" i="25"/>
  <c r="BK74" i="25"/>
  <c r="BO74" i="25" s="1"/>
  <c r="T74" i="25"/>
  <c r="BK90" i="25"/>
  <c r="BO90" i="25" s="1"/>
  <c r="T90" i="25"/>
  <c r="BK11" i="25"/>
  <c r="BO11" i="25" s="1"/>
  <c r="T11" i="25"/>
  <c r="BK29" i="25"/>
  <c r="BO29" i="25" s="1"/>
  <c r="T29" i="25"/>
  <c r="BK61" i="25"/>
  <c r="BO61" i="25" s="1"/>
  <c r="T61" i="25"/>
  <c r="BK15" i="25"/>
  <c r="BO15" i="25" s="1"/>
  <c r="T15" i="25"/>
  <c r="BK31" i="25"/>
  <c r="BO31" i="25" s="1"/>
  <c r="T31" i="25"/>
  <c r="BK51" i="25"/>
  <c r="BO51" i="25" s="1"/>
  <c r="T51" i="25"/>
  <c r="BK67" i="25"/>
  <c r="BO67" i="25" s="1"/>
  <c r="T67" i="25"/>
  <c r="BK83" i="25"/>
  <c r="BO83" i="25" s="1"/>
  <c r="T83" i="25"/>
  <c r="BK92" i="25"/>
  <c r="BO92" i="25" s="1"/>
  <c r="T92" i="25"/>
  <c r="BK96" i="25"/>
  <c r="BO96" i="25" s="1"/>
  <c r="T96" i="25"/>
  <c r="BK100" i="25"/>
  <c r="BO100" i="25" s="1"/>
  <c r="T100" i="25"/>
  <c r="BK104" i="25"/>
  <c r="BO104" i="25" s="1"/>
  <c r="T104" i="25"/>
  <c r="BK34" i="25"/>
  <c r="BO34" i="25" s="1"/>
  <c r="T34" i="25"/>
  <c r="BK44" i="25"/>
  <c r="BO44" i="25" s="1"/>
  <c r="T44" i="25"/>
  <c r="BK85" i="25"/>
  <c r="BO85" i="25" s="1"/>
  <c r="T85" i="25"/>
  <c r="BK22" i="25"/>
  <c r="BO22" i="25" s="1"/>
  <c r="T22" i="25"/>
  <c r="BK35" i="25"/>
  <c r="BO35" i="25" s="1"/>
  <c r="T35" i="25"/>
  <c r="BK42" i="25"/>
  <c r="BO42" i="25" s="1"/>
  <c r="T42" i="25"/>
  <c r="BK21" i="25"/>
  <c r="BO21" i="25" s="1"/>
  <c r="T21" i="25"/>
  <c r="BK69" i="25"/>
  <c r="BO69" i="25" s="1"/>
  <c r="T69" i="25"/>
  <c r="BK12" i="25"/>
  <c r="BO12" i="25" s="1"/>
  <c r="T12" i="25"/>
  <c r="BK28" i="25"/>
  <c r="BO28" i="25" s="1"/>
  <c r="T28" i="25"/>
  <c r="BK48" i="25"/>
  <c r="BO48" i="25" s="1"/>
  <c r="T48" i="25"/>
  <c r="BK64" i="25"/>
  <c r="BO64" i="25" s="1"/>
  <c r="T64" i="25"/>
  <c r="BK80" i="25"/>
  <c r="BO80" i="25" s="1"/>
  <c r="T80" i="25"/>
  <c r="BK62" i="25"/>
  <c r="BO62" i="25" s="1"/>
  <c r="T62" i="25"/>
  <c r="BK78" i="25"/>
  <c r="BO78" i="25" s="1"/>
  <c r="T78" i="25"/>
  <c r="BK8" i="25"/>
  <c r="BO8" i="25" s="1"/>
  <c r="T8" i="25"/>
  <c r="BK13" i="25"/>
  <c r="BO13" i="25" s="1"/>
  <c r="T13" i="25"/>
  <c r="BK33" i="25"/>
  <c r="BO33" i="25" s="1"/>
  <c r="T33" i="25"/>
  <c r="BK65" i="25"/>
  <c r="BO65" i="25" s="1"/>
  <c r="T65" i="25"/>
  <c r="BK19" i="25"/>
  <c r="BO19" i="25" s="1"/>
  <c r="T19" i="25"/>
  <c r="BK39" i="25"/>
  <c r="BO39" i="25" s="1"/>
  <c r="T39" i="25"/>
  <c r="BK55" i="25"/>
  <c r="BO55" i="25" s="1"/>
  <c r="T55" i="25"/>
  <c r="BK71" i="25"/>
  <c r="BO71" i="25" s="1"/>
  <c r="T71" i="25"/>
  <c r="BK87" i="25"/>
  <c r="BO87" i="25" s="1"/>
  <c r="T87" i="25"/>
  <c r="BK93" i="25"/>
  <c r="BO93" i="25" s="1"/>
  <c r="T93" i="25"/>
  <c r="BK97" i="25"/>
  <c r="BO97" i="25" s="1"/>
  <c r="T97" i="25"/>
  <c r="BK101" i="25"/>
  <c r="BO101" i="25" s="1"/>
  <c r="T101" i="25"/>
  <c r="BK105" i="25"/>
  <c r="BO105" i="25" s="1"/>
  <c r="T105" i="25"/>
  <c r="U195" i="24"/>
  <c r="U124" i="24"/>
  <c r="U168" i="24"/>
  <c r="V168" i="24" s="1"/>
  <c r="T116" i="25"/>
  <c r="T174" i="25"/>
  <c r="T201" i="25"/>
  <c r="O110" i="25"/>
  <c r="Q110" i="25" s="1"/>
  <c r="CC110" i="25" s="1"/>
  <c r="U121" i="24"/>
  <c r="V121" i="24" s="1"/>
  <c r="U151" i="24"/>
  <c r="V151" i="24" s="1"/>
  <c r="U130" i="24"/>
  <c r="V130" i="24" s="1"/>
  <c r="U180" i="24"/>
  <c r="U164" i="24"/>
  <c r="V164" i="24" s="1"/>
  <c r="T160" i="25"/>
  <c r="T130" i="25"/>
  <c r="T178" i="25"/>
  <c r="T159" i="25"/>
  <c r="U178" i="24"/>
  <c r="V178" i="24" s="1"/>
  <c r="U139" i="24"/>
  <c r="V139" i="24" s="1"/>
  <c r="U193" i="24"/>
  <c r="U160" i="24"/>
  <c r="T161" i="25"/>
  <c r="T185" i="25"/>
  <c r="T182" i="25"/>
  <c r="W44" i="2"/>
  <c r="D45" i="16" s="1"/>
  <c r="R10" i="25"/>
  <c r="R80" i="25"/>
  <c r="Q9" i="25"/>
  <c r="Q53" i="25"/>
  <c r="Q18" i="25"/>
  <c r="R146" i="25"/>
  <c r="Q57" i="25"/>
  <c r="R55" i="25"/>
  <c r="R113" i="25"/>
  <c r="Q94" i="25"/>
  <c r="R52" i="25"/>
  <c r="R93" i="25"/>
  <c r="Q12" i="25"/>
  <c r="Q118" i="25"/>
  <c r="R32" i="25"/>
  <c r="R59" i="25"/>
  <c r="R150" i="25"/>
  <c r="R104" i="25"/>
  <c r="Q111" i="25"/>
  <c r="Q89" i="25"/>
  <c r="Q165" i="25"/>
  <c r="R155" i="25"/>
  <c r="R65" i="25"/>
  <c r="Q13" i="25"/>
  <c r="R31" i="25"/>
  <c r="Q172" i="25"/>
  <c r="Q176" i="25"/>
  <c r="B25" i="2"/>
  <c r="Q66" i="25"/>
  <c r="R210" i="25"/>
  <c r="Q35" i="25"/>
  <c r="R69" i="25"/>
  <c r="R76" i="25"/>
  <c r="Q37" i="25"/>
  <c r="R51" i="25"/>
  <c r="R84" i="25"/>
  <c r="R105" i="25"/>
  <c r="Q120" i="25"/>
  <c r="Q99" i="25"/>
  <c r="Q29" i="25"/>
  <c r="Q98" i="25"/>
  <c r="R131" i="25"/>
  <c r="R54" i="25"/>
  <c r="Q137" i="25"/>
  <c r="Q34" i="25"/>
  <c r="R103" i="25"/>
  <c r="Q20" i="25"/>
  <c r="Q63" i="25"/>
  <c r="R33" i="25"/>
  <c r="R91" i="25"/>
  <c r="R119" i="25"/>
  <c r="R58" i="25"/>
  <c r="R6" i="25"/>
  <c r="R90" i="25"/>
  <c r="Q16" i="25"/>
  <c r="R41" i="25"/>
  <c r="Q81" i="25"/>
  <c r="R82" i="25"/>
  <c r="R44" i="25"/>
  <c r="R130" i="25"/>
  <c r="Q115" i="25"/>
  <c r="R209" i="25"/>
  <c r="Q50" i="25"/>
  <c r="Q64" i="25"/>
  <c r="R132" i="25"/>
  <c r="Q61" i="25"/>
  <c r="Q157" i="25"/>
  <c r="Q122" i="25"/>
  <c r="R127" i="25"/>
  <c r="Q182" i="25"/>
  <c r="R152" i="25"/>
  <c r="Q126" i="25"/>
  <c r="R144" i="25"/>
  <c r="R128" i="25"/>
  <c r="Q139" i="25"/>
  <c r="R161" i="25"/>
  <c r="Q133" i="25"/>
  <c r="Q158" i="25"/>
  <c r="Q167" i="25"/>
  <c r="R206" i="25"/>
  <c r="Q177" i="25"/>
  <c r="Q198" i="25"/>
  <c r="R185" i="25"/>
  <c r="R129" i="25"/>
  <c r="Q123" i="25"/>
  <c r="R123" i="25"/>
  <c r="R169" i="25"/>
  <c r="Q175" i="25"/>
  <c r="R124" i="25"/>
  <c r="Q204" i="25"/>
  <c r="R200" i="25"/>
  <c r="R162" i="25"/>
  <c r="R134" i="25"/>
  <c r="Q171" i="25"/>
  <c r="R148" i="25"/>
  <c r="R72" i="25"/>
  <c r="Q170" i="25"/>
  <c r="R142" i="25"/>
  <c r="Q71" i="25"/>
  <c r="R114" i="25"/>
  <c r="R203" i="25"/>
  <c r="Q62" i="25"/>
  <c r="Q159" i="25"/>
  <c r="R85" i="25"/>
  <c r="R87" i="25"/>
  <c r="Q156" i="25"/>
  <c r="R178" i="25"/>
  <c r="R163" i="25"/>
  <c r="Q192" i="25"/>
  <c r="R36" i="25"/>
  <c r="R100" i="25"/>
  <c r="R96" i="25"/>
  <c r="R183" i="25"/>
  <c r="R8" i="25"/>
  <c r="R38" i="25"/>
  <c r="Q7" i="25"/>
  <c r="R208" i="25"/>
  <c r="Q46" i="25"/>
  <c r="Q140" i="25"/>
  <c r="Q141" i="25"/>
  <c r="R207" i="25"/>
  <c r="R168" i="25"/>
  <c r="Q17" i="25"/>
  <c r="R153" i="25"/>
  <c r="Q39" i="25"/>
  <c r="Q73" i="25"/>
  <c r="R116" i="25"/>
  <c r="R86" i="25"/>
  <c r="R125" i="25"/>
  <c r="Q189" i="25"/>
  <c r="R75" i="25"/>
  <c r="R166" i="25"/>
  <c r="R188" i="25"/>
  <c r="R196" i="25"/>
  <c r="R22" i="25"/>
  <c r="R47" i="25"/>
  <c r="R70" i="25"/>
  <c r="R14" i="25"/>
  <c r="Q42" i="25"/>
  <c r="R143" i="25"/>
  <c r="R197" i="25"/>
  <c r="R195" i="25"/>
  <c r="R187" i="25"/>
  <c r="Q30" i="25"/>
  <c r="Q67" i="25"/>
  <c r="Q160" i="25"/>
  <c r="R74" i="25"/>
  <c r="R56" i="25"/>
  <c r="R83" i="25"/>
  <c r="Q101" i="25"/>
  <c r="Q79" i="25"/>
  <c r="Q194" i="25"/>
  <c r="R43" i="25"/>
  <c r="Q138" i="25"/>
  <c r="Q49" i="25"/>
  <c r="Q68" i="25"/>
  <c r="R45" i="25"/>
  <c r="R88" i="25"/>
  <c r="Q25" i="25"/>
  <c r="Q136" i="25"/>
  <c r="R190" i="25"/>
  <c r="R26" i="25"/>
  <c r="Q151" i="25"/>
  <c r="R179" i="25"/>
  <c r="Q24" i="25"/>
  <c r="Q173" i="25"/>
  <c r="Q112" i="25"/>
  <c r="Q48" i="25"/>
  <c r="Q147" i="25"/>
  <c r="R121" i="25"/>
  <c r="Q202" i="25"/>
  <c r="R40" i="25"/>
  <c r="Q191" i="25"/>
  <c r="Q149" i="25"/>
  <c r="R193" i="25"/>
  <c r="Q201" i="25"/>
  <c r="R205" i="25"/>
  <c r="R174" i="25"/>
  <c r="R181" i="25"/>
  <c r="R21" i="25"/>
  <c r="R15" i="25"/>
  <c r="Q60" i="25"/>
  <c r="Q180" i="25"/>
  <c r="R23" i="25"/>
  <c r="R164" i="25"/>
  <c r="R78" i="25"/>
  <c r="Q27" i="25"/>
  <c r="R117" i="25"/>
  <c r="R77" i="25"/>
  <c r="Q102" i="25"/>
  <c r="R92" i="25"/>
  <c r="Q199" i="25"/>
  <c r="R28" i="25"/>
  <c r="R184" i="25"/>
  <c r="R11" i="25"/>
  <c r="Q95" i="25"/>
  <c r="Q145" i="25"/>
  <c r="Q19" i="25"/>
  <c r="R97" i="25"/>
  <c r="Q135" i="25"/>
  <c r="R154" i="25"/>
  <c r="R186" i="25"/>
  <c r="P9" i="25"/>
  <c r="P13" i="25"/>
  <c r="P17" i="25"/>
  <c r="P21" i="25"/>
  <c r="P25" i="25"/>
  <c r="P29" i="25"/>
  <c r="P33" i="25"/>
  <c r="P37" i="25"/>
  <c r="P41" i="25"/>
  <c r="P45" i="25"/>
  <c r="P49" i="25"/>
  <c r="P53" i="25"/>
  <c r="P57" i="25"/>
  <c r="P61" i="25"/>
  <c r="P65" i="25"/>
  <c r="P69" i="25"/>
  <c r="P73" i="25"/>
  <c r="P77" i="25"/>
  <c r="P81" i="25"/>
  <c r="P85" i="25"/>
  <c r="P89" i="25"/>
  <c r="P93" i="25"/>
  <c r="P97" i="25"/>
  <c r="P101" i="25"/>
  <c r="P105" i="25"/>
  <c r="P113" i="25"/>
  <c r="P117" i="25"/>
  <c r="P121" i="25"/>
  <c r="P125" i="25"/>
  <c r="P129" i="25"/>
  <c r="P133" i="25"/>
  <c r="P137" i="25"/>
  <c r="P141" i="25"/>
  <c r="P145" i="25"/>
  <c r="P149" i="25"/>
  <c r="P153" i="25"/>
  <c r="P157" i="25"/>
  <c r="P161" i="25"/>
  <c r="P165" i="25"/>
  <c r="P169" i="25"/>
  <c r="P173" i="25"/>
  <c r="P177" i="25"/>
  <c r="P181" i="25"/>
  <c r="P185" i="25"/>
  <c r="P189" i="25"/>
  <c r="P193" i="25"/>
  <c r="P197" i="25"/>
  <c r="P201" i="25"/>
  <c r="P205" i="25"/>
  <c r="P209" i="25"/>
  <c r="P6" i="25"/>
  <c r="P10" i="25"/>
  <c r="P14" i="25"/>
  <c r="P18" i="25"/>
  <c r="P22" i="25"/>
  <c r="P26" i="25"/>
  <c r="P30" i="25"/>
  <c r="P34" i="25"/>
  <c r="P38" i="25"/>
  <c r="P42" i="25"/>
  <c r="P46" i="25"/>
  <c r="P50" i="25"/>
  <c r="P54" i="25"/>
  <c r="P58" i="25"/>
  <c r="P62" i="25"/>
  <c r="P66" i="25"/>
  <c r="P70" i="25"/>
  <c r="P74" i="25"/>
  <c r="P78" i="25"/>
  <c r="P82" i="25"/>
  <c r="P86" i="25"/>
  <c r="P90" i="25"/>
  <c r="P94" i="25"/>
  <c r="P98" i="25"/>
  <c r="P102" i="25"/>
  <c r="P110" i="25"/>
  <c r="P114" i="25"/>
  <c r="P118" i="25"/>
  <c r="P122" i="25"/>
  <c r="P126" i="25"/>
  <c r="P130" i="25"/>
  <c r="P134" i="25"/>
  <c r="P138" i="25"/>
  <c r="P142" i="25"/>
  <c r="P146" i="25"/>
  <c r="P150" i="25"/>
  <c r="P154" i="25"/>
  <c r="P158" i="25"/>
  <c r="P162" i="25"/>
  <c r="P166" i="25"/>
  <c r="P170" i="25"/>
  <c r="P174" i="25"/>
  <c r="P178" i="25"/>
  <c r="P7" i="25"/>
  <c r="P11" i="25"/>
  <c r="P15" i="25"/>
  <c r="P19" i="25"/>
  <c r="P23" i="25"/>
  <c r="P27" i="25"/>
  <c r="P31" i="25"/>
  <c r="P35" i="25"/>
  <c r="P39" i="25"/>
  <c r="P43" i="25"/>
  <c r="P47" i="25"/>
  <c r="P51" i="25"/>
  <c r="P55" i="25"/>
  <c r="P59" i="25"/>
  <c r="P63" i="25"/>
  <c r="P67" i="25"/>
  <c r="P71" i="25"/>
  <c r="P75" i="25"/>
  <c r="P79" i="25"/>
  <c r="P83" i="25"/>
  <c r="P87" i="25"/>
  <c r="P91" i="25"/>
  <c r="P95" i="25"/>
  <c r="P99" i="25"/>
  <c r="P103" i="25"/>
  <c r="P111" i="25"/>
  <c r="P115" i="25"/>
  <c r="P119" i="25"/>
  <c r="P123" i="25"/>
  <c r="P127" i="25"/>
  <c r="P131" i="25"/>
  <c r="P135" i="25"/>
  <c r="P139" i="25"/>
  <c r="P143" i="25"/>
  <c r="P147" i="25"/>
  <c r="P151" i="25"/>
  <c r="P155" i="25"/>
  <c r="P159" i="25"/>
  <c r="P163" i="25"/>
  <c r="P167" i="25"/>
  <c r="P171" i="25"/>
  <c r="P175" i="25"/>
  <c r="P179" i="25"/>
  <c r="P183" i="25"/>
  <c r="P187" i="25"/>
  <c r="P191" i="25"/>
  <c r="P195" i="25"/>
  <c r="P199" i="25"/>
  <c r="P203" i="25"/>
  <c r="P207" i="25"/>
  <c r="P216" i="25"/>
  <c r="P220" i="25"/>
  <c r="P224" i="25"/>
  <c r="P228" i="25"/>
  <c r="P232" i="25"/>
  <c r="P236" i="25"/>
  <c r="P240" i="25"/>
  <c r="P244" i="25"/>
  <c r="P248" i="25"/>
  <c r="P252" i="25"/>
  <c r="P20" i="25"/>
  <c r="P36" i="25"/>
  <c r="P52" i="25"/>
  <c r="P68" i="25"/>
  <c r="P84" i="25"/>
  <c r="P100" i="25"/>
  <c r="P120" i="25"/>
  <c r="P136" i="25"/>
  <c r="P152" i="25"/>
  <c r="P168" i="25"/>
  <c r="P182" i="25"/>
  <c r="P190" i="25"/>
  <c r="P198" i="25"/>
  <c r="P206" i="25"/>
  <c r="P218" i="25"/>
  <c r="P223" i="25"/>
  <c r="P229" i="25"/>
  <c r="P234" i="25"/>
  <c r="P239" i="25"/>
  <c r="P245" i="25"/>
  <c r="P250" i="25"/>
  <c r="P255" i="25"/>
  <c r="P259" i="25"/>
  <c r="P263" i="25"/>
  <c r="P267" i="25"/>
  <c r="P271" i="25"/>
  <c r="P275" i="25"/>
  <c r="P279" i="25"/>
  <c r="P283" i="25"/>
  <c r="P287" i="25"/>
  <c r="P291" i="25"/>
  <c r="P295" i="25"/>
  <c r="P299" i="25"/>
  <c r="P303" i="25"/>
  <c r="P307" i="25"/>
  <c r="P311" i="25"/>
  <c r="P315" i="25"/>
  <c r="P8" i="25"/>
  <c r="P56" i="25"/>
  <c r="P88" i="25"/>
  <c r="P140" i="25"/>
  <c r="P184" i="25"/>
  <c r="P208" i="25"/>
  <c r="P225" i="25"/>
  <c r="P246" i="25"/>
  <c r="P260" i="25"/>
  <c r="P268" i="25"/>
  <c r="P280" i="25"/>
  <c r="P292" i="25"/>
  <c r="P304" i="25"/>
  <c r="P316" i="25"/>
  <c r="P12" i="25"/>
  <c r="P28" i="25"/>
  <c r="P44" i="25"/>
  <c r="P60" i="25"/>
  <c r="P76" i="25"/>
  <c r="P92" i="25"/>
  <c r="P112" i="25"/>
  <c r="P128" i="25"/>
  <c r="P144" i="25"/>
  <c r="P160" i="25"/>
  <c r="P176" i="25"/>
  <c r="P186" i="25"/>
  <c r="P194" i="25"/>
  <c r="P202" i="25"/>
  <c r="P210" i="25"/>
  <c r="P221" i="25"/>
  <c r="P226" i="25"/>
  <c r="P231" i="25"/>
  <c r="P237" i="25"/>
  <c r="P242" i="25"/>
  <c r="P247" i="25"/>
  <c r="P253" i="25"/>
  <c r="P257" i="25"/>
  <c r="P261" i="25"/>
  <c r="P265" i="25"/>
  <c r="P269" i="25"/>
  <c r="P273" i="25"/>
  <c r="P277" i="25"/>
  <c r="P281" i="25"/>
  <c r="P285" i="25"/>
  <c r="P289" i="25"/>
  <c r="P293" i="25"/>
  <c r="P297" i="25"/>
  <c r="P301" i="25"/>
  <c r="P305" i="25"/>
  <c r="P309" i="25"/>
  <c r="P313" i="25"/>
  <c r="P5" i="25"/>
  <c r="P302" i="25"/>
  <c r="P24" i="25"/>
  <c r="P72" i="25"/>
  <c r="P124" i="25"/>
  <c r="P156" i="25"/>
  <c r="P192" i="25"/>
  <c r="P219" i="25"/>
  <c r="P230" i="25"/>
  <c r="P241" i="25"/>
  <c r="P256" i="25"/>
  <c r="P264" i="25"/>
  <c r="P276" i="25"/>
  <c r="P284" i="25"/>
  <c r="P296" i="25"/>
  <c r="P308" i="25"/>
  <c r="P312" i="25"/>
  <c r="P16" i="25"/>
  <c r="P32" i="25"/>
  <c r="P48" i="25"/>
  <c r="P64" i="25"/>
  <c r="P80" i="25"/>
  <c r="P96" i="25"/>
  <c r="P116" i="25"/>
  <c r="P132" i="25"/>
  <c r="P148" i="25"/>
  <c r="P164" i="25"/>
  <c r="P180" i="25"/>
  <c r="P188" i="25"/>
  <c r="P196" i="25"/>
  <c r="P204" i="25"/>
  <c r="P217" i="25"/>
  <c r="P222" i="25"/>
  <c r="P227" i="25"/>
  <c r="P233" i="25"/>
  <c r="P238" i="25"/>
  <c r="P243" i="25"/>
  <c r="P249" i="25"/>
  <c r="P254" i="25"/>
  <c r="P258" i="25"/>
  <c r="P262" i="25"/>
  <c r="P266" i="25"/>
  <c r="P270" i="25"/>
  <c r="P274" i="25"/>
  <c r="P278" i="25"/>
  <c r="P282" i="25"/>
  <c r="P286" i="25"/>
  <c r="P290" i="25"/>
  <c r="P294" i="25"/>
  <c r="P298" i="25"/>
  <c r="P306" i="25"/>
  <c r="P310" i="25"/>
  <c r="P314" i="25"/>
  <c r="P40" i="25"/>
  <c r="P104" i="25"/>
  <c r="P172" i="25"/>
  <c r="P200" i="25"/>
  <c r="P235" i="25"/>
  <c r="P251" i="25"/>
  <c r="P272" i="25"/>
  <c r="P288" i="25"/>
  <c r="P300" i="25"/>
  <c r="O5" i="25"/>
  <c r="BZ18" i="25"/>
  <c r="BZ38" i="25"/>
  <c r="BZ58" i="25"/>
  <c r="BZ53" i="25"/>
  <c r="BZ24" i="25"/>
  <c r="BZ60" i="25"/>
  <c r="BZ76" i="25"/>
  <c r="BZ74" i="25"/>
  <c r="BZ90" i="25"/>
  <c r="BZ11" i="25"/>
  <c r="BZ61" i="25"/>
  <c r="BZ85" i="25"/>
  <c r="BZ31" i="25"/>
  <c r="BZ67" i="25"/>
  <c r="BZ83" i="25"/>
  <c r="BZ92" i="25"/>
  <c r="BZ100" i="25"/>
  <c r="BZ22" i="25"/>
  <c r="BZ42" i="25"/>
  <c r="BZ69" i="25"/>
  <c r="BZ28" i="25"/>
  <c r="BZ64" i="25"/>
  <c r="BZ13" i="25"/>
  <c r="BZ33" i="25"/>
  <c r="BZ65" i="25"/>
  <c r="BZ19" i="25"/>
  <c r="BZ55" i="25"/>
  <c r="BZ71" i="25"/>
  <c r="BZ87" i="25"/>
  <c r="BZ97" i="25"/>
  <c r="BZ105" i="25"/>
  <c r="BZ26" i="25"/>
  <c r="BZ36" i="25"/>
  <c r="BZ46" i="25"/>
  <c r="BZ41" i="25"/>
  <c r="BZ81" i="25"/>
  <c r="BZ16" i="25"/>
  <c r="BZ32" i="25"/>
  <c r="BZ52" i="25"/>
  <c r="BZ68" i="25"/>
  <c r="BZ84" i="25"/>
  <c r="BZ66" i="25"/>
  <c r="BZ82" i="25"/>
  <c r="BZ9" i="25"/>
  <c r="BZ17" i="25"/>
  <c r="BZ49" i="25"/>
  <c r="BZ73" i="25"/>
  <c r="BZ23" i="25"/>
  <c r="BZ43" i="25"/>
  <c r="BZ59" i="25"/>
  <c r="BZ75" i="25"/>
  <c r="BZ94" i="25"/>
  <c r="BZ98" i="25"/>
  <c r="BZ102" i="25"/>
  <c r="BZ34" i="25"/>
  <c r="BZ44" i="25"/>
  <c r="BZ54" i="25"/>
  <c r="BZ29" i="25"/>
  <c r="BZ15" i="25"/>
  <c r="BZ51" i="25"/>
  <c r="BZ96" i="25"/>
  <c r="BZ104" i="25"/>
  <c r="BZ35" i="25"/>
  <c r="BZ21" i="25"/>
  <c r="BZ12" i="25"/>
  <c r="BZ48" i="25"/>
  <c r="BZ80" i="25"/>
  <c r="BZ62" i="25"/>
  <c r="BZ78" i="25"/>
  <c r="BZ8" i="25"/>
  <c r="BZ39" i="25"/>
  <c r="BZ93" i="25"/>
  <c r="BZ101" i="25"/>
  <c r="BZ14" i="25"/>
  <c r="BZ30" i="25"/>
  <c r="BZ37" i="25"/>
  <c r="BZ50" i="25"/>
  <c r="BZ45" i="25"/>
  <c r="BZ89" i="25"/>
  <c r="BZ20" i="25"/>
  <c r="BZ40" i="25"/>
  <c r="BZ56" i="25"/>
  <c r="BZ72" i="25"/>
  <c r="BZ88" i="25"/>
  <c r="BZ70" i="25"/>
  <c r="BZ86" i="25"/>
  <c r="BZ10" i="25"/>
  <c r="BZ25" i="25"/>
  <c r="BZ57" i="25"/>
  <c r="BZ77" i="25"/>
  <c r="BZ27" i="25"/>
  <c r="BZ47" i="25"/>
  <c r="BZ63" i="25"/>
  <c r="BZ79" i="25"/>
  <c r="BZ91" i="25"/>
  <c r="BZ95" i="25"/>
  <c r="BZ99" i="25"/>
  <c r="BZ103" i="25"/>
  <c r="AY7" i="19"/>
  <c r="BD7" i="19" s="1"/>
  <c r="BN7" i="19"/>
  <c r="AY8" i="19"/>
  <c r="BC8" i="19" s="1"/>
  <c r="BN8" i="19"/>
  <c r="AY6" i="19"/>
  <c r="BJ6" i="19" s="1"/>
  <c r="BN6" i="19"/>
  <c r="AY9" i="19"/>
  <c r="BN9" i="19"/>
  <c r="BC7" i="19"/>
  <c r="R313" i="25"/>
  <c r="Q313" i="25"/>
  <c r="R256" i="25"/>
  <c r="Q256" i="25"/>
  <c r="R291" i="25"/>
  <c r="Q291" i="25"/>
  <c r="R259" i="25"/>
  <c r="Q259" i="25"/>
  <c r="R218" i="25"/>
  <c r="Q218" i="25"/>
  <c r="R226" i="25"/>
  <c r="Q226" i="25"/>
  <c r="R309" i="25"/>
  <c r="Q309" i="25"/>
  <c r="R277" i="25"/>
  <c r="Q277" i="25"/>
  <c r="R287" i="25"/>
  <c r="Q287" i="25"/>
  <c r="R255" i="25"/>
  <c r="Q255" i="25"/>
  <c r="R223" i="25"/>
  <c r="Q223" i="25"/>
  <c r="R296" i="25"/>
  <c r="Q296" i="25"/>
  <c r="R267" i="25"/>
  <c r="Q267" i="25"/>
  <c r="R235" i="25"/>
  <c r="Q235" i="25"/>
  <c r="R285" i="25"/>
  <c r="Q285" i="25"/>
  <c r="R221" i="25"/>
  <c r="Q221" i="25"/>
  <c r="R231" i="25"/>
  <c r="Q231" i="25"/>
  <c r="R281" i="25"/>
  <c r="Q281" i="25"/>
  <c r="R249" i="25"/>
  <c r="Q249" i="25"/>
  <c r="R217" i="25"/>
  <c r="Q217" i="25"/>
  <c r="R288" i="25"/>
  <c r="Q288" i="25"/>
  <c r="R224" i="25"/>
  <c r="Q224" i="25"/>
  <c r="R227" i="25"/>
  <c r="Q227" i="25"/>
  <c r="R298" i="25"/>
  <c r="Q298" i="25"/>
  <c r="R245" i="25"/>
  <c r="Q245" i="25"/>
  <c r="R316" i="25"/>
  <c r="Q316" i="25"/>
  <c r="R284" i="25"/>
  <c r="Q284" i="25"/>
  <c r="R252" i="25"/>
  <c r="Q252" i="25"/>
  <c r="R220" i="25"/>
  <c r="Q220" i="25"/>
  <c r="R294" i="25"/>
  <c r="Q294" i="25"/>
  <c r="R278" i="25"/>
  <c r="Q278" i="25"/>
  <c r="R270" i="25"/>
  <c r="Q270" i="25"/>
  <c r="R289" i="25"/>
  <c r="Q289" i="25"/>
  <c r="R257" i="25"/>
  <c r="Q257" i="25"/>
  <c r="R225" i="25"/>
  <c r="Q225" i="25"/>
  <c r="R264" i="25"/>
  <c r="Q264" i="25"/>
  <c r="R232" i="25"/>
  <c r="Q232" i="25"/>
  <c r="R299" i="25"/>
  <c r="Q299" i="25"/>
  <c r="R306" i="25"/>
  <c r="Q306" i="25"/>
  <c r="R250" i="25"/>
  <c r="Q250" i="25"/>
  <c r="R258" i="25"/>
  <c r="Q258" i="25"/>
  <c r="R301" i="25"/>
  <c r="Q301" i="25"/>
  <c r="R269" i="25"/>
  <c r="Q269" i="25"/>
  <c r="R237" i="25"/>
  <c r="Q237" i="25"/>
  <c r="R244" i="25"/>
  <c r="Q244" i="25"/>
  <c r="R279" i="25"/>
  <c r="Q279" i="25"/>
  <c r="R247" i="25"/>
  <c r="Q247" i="25"/>
  <c r="R302" i="25"/>
  <c r="Q302" i="25"/>
  <c r="R234" i="25"/>
  <c r="Q234" i="25"/>
  <c r="R242" i="25"/>
  <c r="Q242" i="25"/>
  <c r="R304" i="25"/>
  <c r="Q304" i="25"/>
  <c r="R240" i="25"/>
  <c r="Q240" i="25"/>
  <c r="R243" i="25"/>
  <c r="Q243" i="25"/>
  <c r="R230" i="25"/>
  <c r="Q230" i="25"/>
  <c r="R222" i="25"/>
  <c r="Q222" i="25"/>
  <c r="R300" i="25"/>
  <c r="Q300" i="25"/>
  <c r="R303" i="25"/>
  <c r="Q303" i="25"/>
  <c r="R271" i="25"/>
  <c r="Q271" i="25"/>
  <c r="R239" i="25"/>
  <c r="Q239" i="25"/>
  <c r="R310" i="25"/>
  <c r="Q310" i="25"/>
  <c r="R274" i="25"/>
  <c r="Q274" i="25"/>
  <c r="R305" i="25"/>
  <c r="Q305" i="25"/>
  <c r="R251" i="25"/>
  <c r="Q251" i="25"/>
  <c r="R219" i="25"/>
  <c r="Q219" i="25"/>
  <c r="R308" i="25"/>
  <c r="Q308" i="25"/>
  <c r="R276" i="25"/>
  <c r="Q276" i="25"/>
  <c r="R311" i="25"/>
  <c r="Q311" i="25"/>
  <c r="R297" i="25"/>
  <c r="Q297" i="25"/>
  <c r="R265" i="25"/>
  <c r="Q265" i="25"/>
  <c r="R233" i="25"/>
  <c r="Q233" i="25"/>
  <c r="R272" i="25"/>
  <c r="Q272" i="25"/>
  <c r="R307" i="25"/>
  <c r="Q307" i="25"/>
  <c r="R275" i="25"/>
  <c r="Q275" i="25"/>
  <c r="R314" i="25"/>
  <c r="Q314" i="25"/>
  <c r="R282" i="25"/>
  <c r="Q282" i="25"/>
  <c r="R293" i="25"/>
  <c r="Q293" i="25"/>
  <c r="R261" i="25"/>
  <c r="Q261" i="25"/>
  <c r="R229" i="25"/>
  <c r="Q229" i="25"/>
  <c r="R268" i="25"/>
  <c r="Q268" i="25"/>
  <c r="R236" i="25"/>
  <c r="Q236" i="25"/>
  <c r="R266" i="25"/>
  <c r="Q266" i="25"/>
  <c r="R273" i="25"/>
  <c r="Q273" i="25"/>
  <c r="R241" i="25"/>
  <c r="Q241" i="25"/>
  <c r="R312" i="25"/>
  <c r="Q312" i="25"/>
  <c r="R280" i="25"/>
  <c r="Q280" i="25"/>
  <c r="R248" i="25"/>
  <c r="Q248" i="25"/>
  <c r="R315" i="25"/>
  <c r="Q315" i="25"/>
  <c r="R283" i="25"/>
  <c r="Q283" i="25"/>
  <c r="R290" i="25"/>
  <c r="Q290" i="25"/>
  <c r="R262" i="25"/>
  <c r="Q262" i="25"/>
  <c r="R254" i="25"/>
  <c r="Q254" i="25"/>
  <c r="R253" i="25"/>
  <c r="Q253" i="25"/>
  <c r="R292" i="25"/>
  <c r="Q292" i="25"/>
  <c r="R260" i="25"/>
  <c r="Q260" i="25"/>
  <c r="R228" i="25"/>
  <c r="Q228" i="25"/>
  <c r="R295" i="25"/>
  <c r="Q295" i="25"/>
  <c r="R263" i="25"/>
  <c r="Q263" i="25"/>
  <c r="R286" i="25"/>
  <c r="Q286" i="25"/>
  <c r="R246" i="25"/>
  <c r="Q246" i="25"/>
  <c r="R238" i="25"/>
  <c r="Q238" i="25"/>
  <c r="AL34" i="25"/>
  <c r="H34" i="25"/>
  <c r="AH34" i="25" s="1"/>
  <c r="S34" i="25"/>
  <c r="K34" i="25" s="1"/>
  <c r="AL58" i="25"/>
  <c r="H58" i="25"/>
  <c r="AH58" i="25" s="1"/>
  <c r="S58" i="25"/>
  <c r="K58" i="25" s="1"/>
  <c r="H121" i="25"/>
  <c r="AH121" i="25" s="1"/>
  <c r="AL121" i="25"/>
  <c r="S121" i="25"/>
  <c r="K121" i="25" s="1"/>
  <c r="AL44" i="25"/>
  <c r="H44" i="25"/>
  <c r="AH44" i="25" s="1"/>
  <c r="S44" i="25"/>
  <c r="K44" i="25" s="1"/>
  <c r="AL76" i="25"/>
  <c r="H76" i="25"/>
  <c r="AH76" i="25" s="1"/>
  <c r="S76" i="25"/>
  <c r="K76" i="25" s="1"/>
  <c r="AL74" i="25"/>
  <c r="H74" i="25"/>
  <c r="AH74" i="25" s="1"/>
  <c r="S74" i="25"/>
  <c r="K74" i="25" s="1"/>
  <c r="AL124" i="25"/>
  <c r="H124" i="25"/>
  <c r="AH124" i="25" s="1"/>
  <c r="S124" i="25"/>
  <c r="K124" i="25" s="1"/>
  <c r="AL17" i="25"/>
  <c r="H17" i="25"/>
  <c r="AH17" i="25" s="1"/>
  <c r="S17" i="25"/>
  <c r="K17" i="25" s="1"/>
  <c r="AL73" i="25"/>
  <c r="H73" i="25"/>
  <c r="AH73" i="25" s="1"/>
  <c r="S73" i="25"/>
  <c r="K73" i="25" s="1"/>
  <c r="AL23" i="25"/>
  <c r="H23" i="25"/>
  <c r="AH23" i="25" s="1"/>
  <c r="S23" i="25"/>
  <c r="K23" i="25" s="1"/>
  <c r="AL43" i="25"/>
  <c r="H43" i="25"/>
  <c r="AH43" i="25" s="1"/>
  <c r="S43" i="25"/>
  <c r="K43" i="25" s="1"/>
  <c r="AL75" i="25"/>
  <c r="H75" i="25"/>
  <c r="AH75" i="25" s="1"/>
  <c r="S75" i="25"/>
  <c r="K75" i="25" s="1"/>
  <c r="H223" i="25"/>
  <c r="AH223" i="25" s="1"/>
  <c r="AL223" i="25"/>
  <c r="S223" i="25"/>
  <c r="K223" i="25" s="1"/>
  <c r="H290" i="25"/>
  <c r="AH290" i="25" s="1"/>
  <c r="AL290" i="25"/>
  <c r="S290" i="25"/>
  <c r="K290" i="25" s="1"/>
  <c r="AL98" i="25"/>
  <c r="H98" i="25"/>
  <c r="AH98" i="25" s="1"/>
  <c r="S98" i="25"/>
  <c r="K98" i="25" s="1"/>
  <c r="AL111" i="25"/>
  <c r="H111" i="25"/>
  <c r="AH111" i="25" s="1"/>
  <c r="S111" i="25"/>
  <c r="K111" i="25" s="1"/>
  <c r="H133" i="25"/>
  <c r="AH133" i="25" s="1"/>
  <c r="AL133" i="25"/>
  <c r="S133" i="25"/>
  <c r="K133" i="25" s="1"/>
  <c r="H141" i="25"/>
  <c r="AH141" i="25" s="1"/>
  <c r="AL141" i="25"/>
  <c r="S141" i="25"/>
  <c r="K141" i="25" s="1"/>
  <c r="H157" i="25"/>
  <c r="AH157" i="25" s="1"/>
  <c r="AL157" i="25"/>
  <c r="S157" i="25"/>
  <c r="K157" i="25" s="1"/>
  <c r="H173" i="25"/>
  <c r="AH173" i="25" s="1"/>
  <c r="AL173" i="25"/>
  <c r="S173" i="25"/>
  <c r="K173" i="25" s="1"/>
  <c r="H197" i="25"/>
  <c r="AH197" i="25" s="1"/>
  <c r="AL197" i="25"/>
  <c r="S197" i="25"/>
  <c r="K197" i="25" s="1"/>
  <c r="H158" i="25"/>
  <c r="AH158" i="25" s="1"/>
  <c r="AL158" i="25"/>
  <c r="S158" i="25"/>
  <c r="K158" i="25" s="1"/>
  <c r="H190" i="25"/>
  <c r="AH190" i="25" s="1"/>
  <c r="AL190" i="25"/>
  <c r="S190" i="25"/>
  <c r="K190" i="25" s="1"/>
  <c r="H235" i="25"/>
  <c r="AH235" i="25" s="1"/>
  <c r="AL235" i="25"/>
  <c r="S235" i="25"/>
  <c r="K235" i="25" s="1"/>
  <c r="H251" i="25"/>
  <c r="AH251" i="25" s="1"/>
  <c r="AL251" i="25"/>
  <c r="S251" i="25"/>
  <c r="K251" i="25" s="1"/>
  <c r="H267" i="25"/>
  <c r="AH267" i="25" s="1"/>
  <c r="AL267" i="25"/>
  <c r="S267" i="25"/>
  <c r="K267" i="25" s="1"/>
  <c r="AL155" i="25"/>
  <c r="H155" i="25"/>
  <c r="AH155" i="25" s="1"/>
  <c r="S155" i="25"/>
  <c r="K155" i="25" s="1"/>
  <c r="AL187" i="25"/>
  <c r="H187" i="25"/>
  <c r="AH187" i="25" s="1"/>
  <c r="S187" i="25"/>
  <c r="K187" i="25" s="1"/>
  <c r="AL201" i="25"/>
  <c r="H201" i="25"/>
  <c r="AH201" i="25" s="1"/>
  <c r="S201" i="25"/>
  <c r="K201" i="25" s="1"/>
  <c r="AL316" i="25"/>
  <c r="H316" i="25"/>
  <c r="AH316" i="25" s="1"/>
  <c r="S316" i="25"/>
  <c r="K316" i="25" s="1"/>
  <c r="AL14" i="25"/>
  <c r="H14" i="25"/>
  <c r="AH14" i="25" s="1"/>
  <c r="S14" i="25"/>
  <c r="K14" i="25" s="1"/>
  <c r="AL30" i="25"/>
  <c r="H30" i="25"/>
  <c r="AH30" i="25" s="1"/>
  <c r="S30" i="25"/>
  <c r="K30" i="25" s="1"/>
  <c r="AL37" i="25"/>
  <c r="H37" i="25"/>
  <c r="AH37" i="25" s="1"/>
  <c r="S37" i="25"/>
  <c r="K37" i="25" s="1"/>
  <c r="AL50" i="25"/>
  <c r="H50" i="25"/>
  <c r="AH50" i="25" s="1"/>
  <c r="S50" i="25"/>
  <c r="K50" i="25" s="1"/>
  <c r="AL45" i="25"/>
  <c r="H45" i="25"/>
  <c r="AH45" i="25" s="1"/>
  <c r="S45" i="25"/>
  <c r="K45" i="25" s="1"/>
  <c r="AL89" i="25"/>
  <c r="H89" i="25"/>
  <c r="AH89" i="25" s="1"/>
  <c r="S89" i="25"/>
  <c r="K89" i="25" s="1"/>
  <c r="AL20" i="25"/>
  <c r="H20" i="25"/>
  <c r="AH20" i="25" s="1"/>
  <c r="S20" i="25"/>
  <c r="K20" i="25" s="1"/>
  <c r="AL40" i="25"/>
  <c r="H40" i="25"/>
  <c r="AH40" i="25" s="1"/>
  <c r="S40" i="25"/>
  <c r="K40" i="25" s="1"/>
  <c r="AL56" i="25"/>
  <c r="H56" i="25"/>
  <c r="AH56" i="25" s="1"/>
  <c r="S56" i="25"/>
  <c r="K56" i="25" s="1"/>
  <c r="AL72" i="25"/>
  <c r="H72" i="25"/>
  <c r="AH72" i="25" s="1"/>
  <c r="S72" i="25"/>
  <c r="K72" i="25" s="1"/>
  <c r="AL88" i="25"/>
  <c r="H88" i="25"/>
  <c r="AH88" i="25" s="1"/>
  <c r="S88" i="25"/>
  <c r="K88" i="25" s="1"/>
  <c r="AL70" i="25"/>
  <c r="H70" i="25"/>
  <c r="AH70" i="25" s="1"/>
  <c r="S70" i="25"/>
  <c r="K70" i="25" s="1"/>
  <c r="AL86" i="25"/>
  <c r="H86" i="25"/>
  <c r="AH86" i="25" s="1"/>
  <c r="S86" i="25"/>
  <c r="K86" i="25" s="1"/>
  <c r="AL120" i="25"/>
  <c r="H120" i="25"/>
  <c r="AH120" i="25" s="1"/>
  <c r="S120" i="25"/>
  <c r="K120" i="25" s="1"/>
  <c r="H8" i="25"/>
  <c r="AH8" i="25" s="1"/>
  <c r="AL8" i="25"/>
  <c r="S8" i="25"/>
  <c r="K8" i="25" s="1"/>
  <c r="AL13" i="25"/>
  <c r="H13" i="25"/>
  <c r="AH13" i="25" s="1"/>
  <c r="S13" i="25"/>
  <c r="K13" i="25" s="1"/>
  <c r="AL33" i="25"/>
  <c r="H33" i="25"/>
  <c r="AH33" i="25" s="1"/>
  <c r="S33" i="25"/>
  <c r="K33" i="25" s="1"/>
  <c r="AL65" i="25"/>
  <c r="H65" i="25"/>
  <c r="AH65" i="25" s="1"/>
  <c r="S65" i="25"/>
  <c r="K65" i="25" s="1"/>
  <c r="H113" i="25"/>
  <c r="AH113" i="25" s="1"/>
  <c r="AL113" i="25"/>
  <c r="S113" i="25"/>
  <c r="K113" i="25" s="1"/>
  <c r="AL19" i="25"/>
  <c r="H19" i="25"/>
  <c r="AH19" i="25" s="1"/>
  <c r="S19" i="25"/>
  <c r="K19" i="25" s="1"/>
  <c r="AL39" i="25"/>
  <c r="H39" i="25"/>
  <c r="AH39" i="25" s="1"/>
  <c r="S39" i="25"/>
  <c r="K39" i="25" s="1"/>
  <c r="AL55" i="25"/>
  <c r="H55" i="25"/>
  <c r="AH55" i="25" s="1"/>
  <c r="S55" i="25"/>
  <c r="K55" i="25" s="1"/>
  <c r="AL71" i="25"/>
  <c r="H71" i="25"/>
  <c r="AH71" i="25" s="1"/>
  <c r="S71" i="25"/>
  <c r="K71" i="25" s="1"/>
  <c r="AL87" i="25"/>
  <c r="H87" i="25"/>
  <c r="AH87" i="25" s="1"/>
  <c r="S87" i="25"/>
  <c r="K87" i="25" s="1"/>
  <c r="H122" i="25"/>
  <c r="AH122" i="25" s="1"/>
  <c r="AL122" i="25"/>
  <c r="S122" i="25"/>
  <c r="K122" i="25" s="1"/>
  <c r="H222" i="25"/>
  <c r="AH222" i="25" s="1"/>
  <c r="AL222" i="25"/>
  <c r="S222" i="25"/>
  <c r="K222" i="25" s="1"/>
  <c r="H230" i="25"/>
  <c r="AH230" i="25" s="1"/>
  <c r="AL230" i="25"/>
  <c r="S230" i="25"/>
  <c r="K230" i="25" s="1"/>
  <c r="AL277" i="25"/>
  <c r="H277" i="25"/>
  <c r="AH277" i="25" s="1"/>
  <c r="S277" i="25"/>
  <c r="K277" i="25" s="1"/>
  <c r="AL93" i="25"/>
  <c r="H93" i="25"/>
  <c r="AH93" i="25" s="1"/>
  <c r="S93" i="25"/>
  <c r="K93" i="25" s="1"/>
  <c r="AL97" i="25"/>
  <c r="H97" i="25"/>
  <c r="AH97" i="25" s="1"/>
  <c r="S97" i="25"/>
  <c r="K97" i="25" s="1"/>
  <c r="AL101" i="25"/>
  <c r="H101" i="25"/>
  <c r="AH101" i="25" s="1"/>
  <c r="S101" i="25"/>
  <c r="K101" i="25" s="1"/>
  <c r="AL105" i="25"/>
  <c r="H105" i="25"/>
  <c r="AH105" i="25" s="1"/>
  <c r="S105" i="25"/>
  <c r="K105" i="25" s="1"/>
  <c r="AL123" i="25"/>
  <c r="H123" i="25"/>
  <c r="AH123" i="25" s="1"/>
  <c r="S123" i="25"/>
  <c r="K123" i="25" s="1"/>
  <c r="AL132" i="25"/>
  <c r="H132" i="25"/>
  <c r="AH132" i="25" s="1"/>
  <c r="S132" i="25"/>
  <c r="K132" i="25" s="1"/>
  <c r="AL140" i="25"/>
  <c r="H140" i="25"/>
  <c r="AH140" i="25" s="1"/>
  <c r="S140" i="25"/>
  <c r="K140" i="25" s="1"/>
  <c r="AL148" i="25"/>
  <c r="H148" i="25"/>
  <c r="AH148" i="25" s="1"/>
  <c r="S148" i="25"/>
  <c r="K148" i="25" s="1"/>
  <c r="AL156" i="25"/>
  <c r="H156" i="25"/>
  <c r="AH156" i="25" s="1"/>
  <c r="S156" i="25"/>
  <c r="K156" i="25" s="1"/>
  <c r="AL164" i="25"/>
  <c r="H164" i="25"/>
  <c r="AH164" i="25" s="1"/>
  <c r="S164" i="25"/>
  <c r="K164" i="25" s="1"/>
  <c r="AL172" i="25"/>
  <c r="H172" i="25"/>
  <c r="AH172" i="25" s="1"/>
  <c r="S172" i="25"/>
  <c r="K172" i="25" s="1"/>
  <c r="AL180" i="25"/>
  <c r="H180" i="25"/>
  <c r="AH180" i="25" s="1"/>
  <c r="S180" i="25"/>
  <c r="K180" i="25" s="1"/>
  <c r="AL188" i="25"/>
  <c r="H188" i="25"/>
  <c r="AH188" i="25" s="1"/>
  <c r="S188" i="25"/>
  <c r="K188" i="25" s="1"/>
  <c r="AL196" i="25"/>
  <c r="H196" i="25"/>
  <c r="AH196" i="25" s="1"/>
  <c r="S196" i="25"/>
  <c r="K196" i="25" s="1"/>
  <c r="H138" i="25"/>
  <c r="AH138" i="25" s="1"/>
  <c r="AL138" i="25"/>
  <c r="S138" i="25"/>
  <c r="K138" i="25" s="1"/>
  <c r="H154" i="25"/>
  <c r="AH154" i="25" s="1"/>
  <c r="AL154" i="25"/>
  <c r="S154" i="25"/>
  <c r="K154" i="25" s="1"/>
  <c r="H170" i="25"/>
  <c r="AH170" i="25" s="1"/>
  <c r="AL170" i="25"/>
  <c r="S170" i="25"/>
  <c r="K170" i="25" s="1"/>
  <c r="H186" i="25"/>
  <c r="AH186" i="25" s="1"/>
  <c r="AL186" i="25"/>
  <c r="S186" i="25"/>
  <c r="K186" i="25" s="1"/>
  <c r="H217" i="25"/>
  <c r="AH217" i="25" s="1"/>
  <c r="AL217" i="25"/>
  <c r="S217" i="25"/>
  <c r="K217" i="25" s="1"/>
  <c r="H232" i="25"/>
  <c r="AH232" i="25" s="1"/>
  <c r="AL232" i="25"/>
  <c r="S232" i="25"/>
  <c r="K232" i="25" s="1"/>
  <c r="H240" i="25"/>
  <c r="AH240" i="25" s="1"/>
  <c r="AL240" i="25"/>
  <c r="S240" i="25"/>
  <c r="K240" i="25" s="1"/>
  <c r="H248" i="25"/>
  <c r="AH248" i="25" s="1"/>
  <c r="AL248" i="25"/>
  <c r="S248" i="25"/>
  <c r="K248" i="25" s="1"/>
  <c r="H256" i="25"/>
  <c r="AH256" i="25" s="1"/>
  <c r="AL256" i="25"/>
  <c r="S256" i="25"/>
  <c r="K256" i="25" s="1"/>
  <c r="H264" i="25"/>
  <c r="AH264" i="25" s="1"/>
  <c r="AL264" i="25"/>
  <c r="S264" i="25"/>
  <c r="K264" i="25" s="1"/>
  <c r="AL274" i="25"/>
  <c r="H274" i="25"/>
  <c r="AH274" i="25" s="1"/>
  <c r="S274" i="25"/>
  <c r="K274" i="25" s="1"/>
  <c r="AL135" i="25"/>
  <c r="H135" i="25"/>
  <c r="AH135" i="25" s="1"/>
  <c r="S135" i="25"/>
  <c r="K135" i="25" s="1"/>
  <c r="AL151" i="25"/>
  <c r="H151" i="25"/>
  <c r="AH151" i="25" s="1"/>
  <c r="S151" i="25"/>
  <c r="K151" i="25" s="1"/>
  <c r="AL167" i="25"/>
  <c r="H167" i="25"/>
  <c r="AH167" i="25" s="1"/>
  <c r="S167" i="25"/>
  <c r="K167" i="25" s="1"/>
  <c r="AL183" i="25"/>
  <c r="H183" i="25"/>
  <c r="AH183" i="25" s="1"/>
  <c r="S183" i="25"/>
  <c r="K183" i="25" s="1"/>
  <c r="AL199" i="25"/>
  <c r="H199" i="25"/>
  <c r="AH199" i="25" s="1"/>
  <c r="S199" i="25"/>
  <c r="K199" i="25" s="1"/>
  <c r="H206" i="25"/>
  <c r="AH206" i="25" s="1"/>
  <c r="AL206" i="25"/>
  <c r="S206" i="25"/>
  <c r="K206" i="25" s="1"/>
  <c r="H224" i="25"/>
  <c r="AH224" i="25" s="1"/>
  <c r="AL224" i="25"/>
  <c r="S224" i="25"/>
  <c r="K224" i="25" s="1"/>
  <c r="AL308" i="25"/>
  <c r="H308" i="25"/>
  <c r="AH308" i="25" s="1"/>
  <c r="S308" i="25"/>
  <c r="K308" i="25" s="1"/>
  <c r="H238" i="25"/>
  <c r="AH238" i="25" s="1"/>
  <c r="AL238" i="25"/>
  <c r="S238" i="25"/>
  <c r="K238" i="25" s="1"/>
  <c r="H254" i="25"/>
  <c r="AH254" i="25" s="1"/>
  <c r="AL254" i="25"/>
  <c r="S254" i="25"/>
  <c r="K254" i="25" s="1"/>
  <c r="H283" i="25"/>
  <c r="AH283" i="25" s="1"/>
  <c r="AL283" i="25"/>
  <c r="S283" i="25"/>
  <c r="K283" i="25" s="1"/>
  <c r="AL204" i="25"/>
  <c r="H204" i="25"/>
  <c r="AH204" i="25" s="1"/>
  <c r="S204" i="25"/>
  <c r="K204" i="25" s="1"/>
  <c r="H241" i="25"/>
  <c r="AH241" i="25" s="1"/>
  <c r="AL241" i="25"/>
  <c r="S241" i="25"/>
  <c r="K241" i="25" s="1"/>
  <c r="H257" i="25"/>
  <c r="AH257" i="25" s="1"/>
  <c r="AL257" i="25"/>
  <c r="S257" i="25"/>
  <c r="K257" i="25" s="1"/>
  <c r="H294" i="25"/>
  <c r="AH294" i="25" s="1"/>
  <c r="AL294" i="25"/>
  <c r="S294" i="25"/>
  <c r="K294" i="25" s="1"/>
  <c r="AL309" i="25"/>
  <c r="H309" i="25"/>
  <c r="AH309" i="25" s="1"/>
  <c r="S309" i="25"/>
  <c r="K309" i="25" s="1"/>
  <c r="AL279" i="25"/>
  <c r="H279" i="25"/>
  <c r="AH279" i="25" s="1"/>
  <c r="S279" i="25"/>
  <c r="K279" i="25" s="1"/>
  <c r="H293" i="25"/>
  <c r="AH293" i="25" s="1"/>
  <c r="AL293" i="25"/>
  <c r="S293" i="25"/>
  <c r="K293" i="25" s="1"/>
  <c r="H284" i="25"/>
  <c r="AH284" i="25" s="1"/>
  <c r="AL284" i="25"/>
  <c r="S284" i="25"/>
  <c r="K284" i="25" s="1"/>
  <c r="AL300" i="25"/>
  <c r="H300" i="25"/>
  <c r="AH300" i="25" s="1"/>
  <c r="S300" i="25"/>
  <c r="K300" i="25" s="1"/>
  <c r="AL315" i="25"/>
  <c r="H315" i="25"/>
  <c r="AH315" i="25" s="1"/>
  <c r="S315" i="25"/>
  <c r="K315" i="25" s="1"/>
  <c r="AL304" i="25"/>
  <c r="H304" i="25"/>
  <c r="AH304" i="25" s="1"/>
  <c r="S304" i="25"/>
  <c r="K304" i="25" s="1"/>
  <c r="AL18" i="25"/>
  <c r="H18" i="25"/>
  <c r="AH18" i="25" s="1"/>
  <c r="S18" i="25"/>
  <c r="K18" i="25" s="1"/>
  <c r="AL38" i="25"/>
  <c r="H38" i="25"/>
  <c r="AH38" i="25" s="1"/>
  <c r="S38" i="25"/>
  <c r="K38" i="25" s="1"/>
  <c r="AL53" i="25"/>
  <c r="H53" i="25"/>
  <c r="AH53" i="25" s="1"/>
  <c r="S53" i="25"/>
  <c r="K53" i="25" s="1"/>
  <c r="AL24" i="25"/>
  <c r="H24" i="25"/>
  <c r="AH24" i="25" s="1"/>
  <c r="S24" i="25"/>
  <c r="K24" i="25" s="1"/>
  <c r="AL60" i="25"/>
  <c r="H60" i="25"/>
  <c r="AH60" i="25" s="1"/>
  <c r="S60" i="25"/>
  <c r="K60" i="25" s="1"/>
  <c r="AL54" i="25"/>
  <c r="H54" i="25"/>
  <c r="AH54" i="25" s="1"/>
  <c r="S54" i="25"/>
  <c r="K54" i="25" s="1"/>
  <c r="AL90" i="25"/>
  <c r="H90" i="25"/>
  <c r="AH90" i="25" s="1"/>
  <c r="S90" i="25"/>
  <c r="K90" i="25" s="1"/>
  <c r="AL9" i="25"/>
  <c r="H9" i="25"/>
  <c r="AH9" i="25" s="1"/>
  <c r="S9" i="25"/>
  <c r="K9" i="25" s="1"/>
  <c r="AL49" i="25"/>
  <c r="H49" i="25"/>
  <c r="AH49" i="25" s="1"/>
  <c r="S49" i="25"/>
  <c r="K49" i="25" s="1"/>
  <c r="H117" i="25"/>
  <c r="AH117" i="25" s="1"/>
  <c r="AL117" i="25"/>
  <c r="S117" i="25"/>
  <c r="K117" i="25" s="1"/>
  <c r="AL59" i="25"/>
  <c r="H59" i="25"/>
  <c r="AH59" i="25" s="1"/>
  <c r="S59" i="25"/>
  <c r="K59" i="25" s="1"/>
  <c r="H295" i="25"/>
  <c r="AH295" i="25" s="1"/>
  <c r="AL295" i="25"/>
  <c r="S295" i="25"/>
  <c r="K295" i="25" s="1"/>
  <c r="H126" i="25"/>
  <c r="AH126" i="25" s="1"/>
  <c r="AL126" i="25"/>
  <c r="S126" i="25"/>
  <c r="K126" i="25" s="1"/>
  <c r="H231" i="25"/>
  <c r="AH231" i="25" s="1"/>
  <c r="AL231" i="25"/>
  <c r="S231" i="25"/>
  <c r="K231" i="25" s="1"/>
  <c r="AL94" i="25"/>
  <c r="H94" i="25"/>
  <c r="AH94" i="25" s="1"/>
  <c r="S94" i="25"/>
  <c r="K94" i="25" s="1"/>
  <c r="AL102" i="25"/>
  <c r="H102" i="25"/>
  <c r="AH102" i="25" s="1"/>
  <c r="S102" i="25"/>
  <c r="K102" i="25" s="1"/>
  <c r="AL127" i="25"/>
  <c r="H127" i="25"/>
  <c r="AH127" i="25" s="1"/>
  <c r="S127" i="25"/>
  <c r="K127" i="25" s="1"/>
  <c r="H149" i="25"/>
  <c r="AH149" i="25" s="1"/>
  <c r="AL149" i="25"/>
  <c r="S149" i="25"/>
  <c r="K149" i="25" s="1"/>
  <c r="H165" i="25"/>
  <c r="AH165" i="25" s="1"/>
  <c r="AL165" i="25"/>
  <c r="S165" i="25"/>
  <c r="K165" i="25" s="1"/>
  <c r="H181" i="25"/>
  <c r="AH181" i="25" s="1"/>
  <c r="AL181" i="25"/>
  <c r="S181" i="25"/>
  <c r="K181" i="25" s="1"/>
  <c r="H189" i="25"/>
  <c r="AH189" i="25" s="1"/>
  <c r="AL189" i="25"/>
  <c r="S189" i="25"/>
  <c r="K189" i="25" s="1"/>
  <c r="H142" i="25"/>
  <c r="AH142" i="25" s="1"/>
  <c r="AL142" i="25"/>
  <c r="S142" i="25"/>
  <c r="K142" i="25" s="1"/>
  <c r="H174" i="25"/>
  <c r="AH174" i="25" s="1"/>
  <c r="AL174" i="25"/>
  <c r="S174" i="25"/>
  <c r="K174" i="25" s="1"/>
  <c r="H221" i="25"/>
  <c r="AH221" i="25" s="1"/>
  <c r="AL221" i="25"/>
  <c r="S221" i="25"/>
  <c r="K221" i="25" s="1"/>
  <c r="H243" i="25"/>
  <c r="AH243" i="25" s="1"/>
  <c r="AL243" i="25"/>
  <c r="S243" i="25"/>
  <c r="K243" i="25" s="1"/>
  <c r="H259" i="25"/>
  <c r="AH259" i="25" s="1"/>
  <c r="AL259" i="25"/>
  <c r="S259" i="25"/>
  <c r="K259" i="25" s="1"/>
  <c r="AL278" i="25"/>
  <c r="H278" i="25"/>
  <c r="AH278" i="25" s="1"/>
  <c r="S278" i="25"/>
  <c r="K278" i="25" s="1"/>
  <c r="AL139" i="25"/>
  <c r="H139" i="25"/>
  <c r="AH139" i="25" s="1"/>
  <c r="S139" i="25"/>
  <c r="K139" i="25" s="1"/>
  <c r="AL171" i="25"/>
  <c r="H171" i="25"/>
  <c r="AH171" i="25" s="1"/>
  <c r="S171" i="25"/>
  <c r="K171" i="25" s="1"/>
  <c r="AL209" i="25"/>
  <c r="H209" i="25"/>
  <c r="AH209" i="25" s="1"/>
  <c r="S209" i="25"/>
  <c r="K209" i="25" s="1"/>
  <c r="H228" i="25"/>
  <c r="AH228" i="25" s="1"/>
  <c r="AL228" i="25"/>
  <c r="S228" i="25"/>
  <c r="K228" i="25" s="1"/>
  <c r="H203" i="25"/>
  <c r="AH203" i="25" s="1"/>
  <c r="AL203" i="25"/>
  <c r="S203" i="25"/>
  <c r="K203" i="25" s="1"/>
  <c r="H242" i="25"/>
  <c r="AH242" i="25" s="1"/>
  <c r="AL242" i="25"/>
  <c r="S242" i="25"/>
  <c r="K242" i="25" s="1"/>
  <c r="H258" i="25"/>
  <c r="AH258" i="25" s="1"/>
  <c r="AL258" i="25"/>
  <c r="S258" i="25"/>
  <c r="K258" i="25" s="1"/>
  <c r="H291" i="25"/>
  <c r="AH291" i="25" s="1"/>
  <c r="AL291" i="25"/>
  <c r="S291" i="25"/>
  <c r="K291" i="25" s="1"/>
  <c r="AL208" i="25"/>
  <c r="H208" i="25"/>
  <c r="AH208" i="25" s="1"/>
  <c r="S208" i="25"/>
  <c r="K208" i="25" s="1"/>
  <c r="H245" i="25"/>
  <c r="AH245" i="25" s="1"/>
  <c r="AL245" i="25"/>
  <c r="S245" i="25"/>
  <c r="K245" i="25" s="1"/>
  <c r="H261" i="25"/>
  <c r="AH261" i="25" s="1"/>
  <c r="AL261" i="25"/>
  <c r="S261" i="25"/>
  <c r="K261" i="25" s="1"/>
  <c r="AL272" i="25"/>
  <c r="H272" i="25"/>
  <c r="AH272" i="25" s="1"/>
  <c r="S272" i="25"/>
  <c r="K272" i="25" s="1"/>
  <c r="H281" i="25"/>
  <c r="AH281" i="25" s="1"/>
  <c r="AL281" i="25"/>
  <c r="S281" i="25"/>
  <c r="K281" i="25" s="1"/>
  <c r="H297" i="25"/>
  <c r="AH297" i="25" s="1"/>
  <c r="AL297" i="25"/>
  <c r="S297" i="25"/>
  <c r="K297" i="25" s="1"/>
  <c r="H288" i="25"/>
  <c r="AH288" i="25" s="1"/>
  <c r="AL288" i="25"/>
  <c r="S288" i="25"/>
  <c r="K288" i="25" s="1"/>
  <c r="AL305" i="25"/>
  <c r="H305" i="25"/>
  <c r="AH305" i="25" s="1"/>
  <c r="S305" i="25"/>
  <c r="K305" i="25" s="1"/>
  <c r="AL301" i="25"/>
  <c r="H301" i="25"/>
  <c r="AH301" i="25" s="1"/>
  <c r="S301" i="25"/>
  <c r="K301" i="25" s="1"/>
  <c r="AL306" i="25"/>
  <c r="H306" i="25"/>
  <c r="AH306" i="25" s="1"/>
  <c r="S306" i="25"/>
  <c r="K306" i="25" s="1"/>
  <c r="AL22" i="25"/>
  <c r="H22" i="25"/>
  <c r="AH22" i="25" s="1"/>
  <c r="S22" i="25"/>
  <c r="K22" i="25" s="1"/>
  <c r="AL35" i="25"/>
  <c r="H35" i="25"/>
  <c r="AH35" i="25" s="1"/>
  <c r="S35" i="25"/>
  <c r="K35" i="25" s="1"/>
  <c r="AL42" i="25"/>
  <c r="H42" i="25"/>
  <c r="AH42" i="25" s="1"/>
  <c r="S42" i="25"/>
  <c r="K42" i="25" s="1"/>
  <c r="AL21" i="25"/>
  <c r="H21" i="25"/>
  <c r="AH21" i="25" s="1"/>
  <c r="S21" i="25"/>
  <c r="K21" i="25" s="1"/>
  <c r="AL69" i="25"/>
  <c r="H69" i="25"/>
  <c r="AH69" i="25" s="1"/>
  <c r="S69" i="25"/>
  <c r="K69" i="25" s="1"/>
  <c r="AL12" i="25"/>
  <c r="H12" i="25"/>
  <c r="AH12" i="25" s="1"/>
  <c r="S12" i="25"/>
  <c r="K12" i="25" s="1"/>
  <c r="AL28" i="25"/>
  <c r="H28" i="25"/>
  <c r="AH28" i="25" s="1"/>
  <c r="S28" i="25"/>
  <c r="K28" i="25" s="1"/>
  <c r="AL48" i="25"/>
  <c r="H48" i="25"/>
  <c r="AH48" i="25" s="1"/>
  <c r="S48" i="25"/>
  <c r="K48" i="25" s="1"/>
  <c r="AL64" i="25"/>
  <c r="H64" i="25"/>
  <c r="AH64" i="25" s="1"/>
  <c r="S64" i="25"/>
  <c r="K64" i="25" s="1"/>
  <c r="AL80" i="25"/>
  <c r="H80" i="25"/>
  <c r="AH80" i="25" s="1"/>
  <c r="S80" i="25"/>
  <c r="K80" i="25" s="1"/>
  <c r="AL62" i="25"/>
  <c r="H62" i="25"/>
  <c r="AH62" i="25" s="1"/>
  <c r="S62" i="25"/>
  <c r="K62" i="25" s="1"/>
  <c r="AL78" i="25"/>
  <c r="H78" i="25"/>
  <c r="AH78" i="25" s="1"/>
  <c r="S78" i="25"/>
  <c r="K78" i="25" s="1"/>
  <c r="AL112" i="25"/>
  <c r="H112" i="25"/>
  <c r="AH112" i="25" s="1"/>
  <c r="S112" i="25"/>
  <c r="K112" i="25" s="1"/>
  <c r="AL6" i="25"/>
  <c r="BO6" i="25"/>
  <c r="H6" i="25"/>
  <c r="AH6" i="25" s="1"/>
  <c r="S6" i="25"/>
  <c r="K6" i="25" s="1"/>
  <c r="H10" i="25"/>
  <c r="AH10" i="25" s="1"/>
  <c r="AL10" i="25"/>
  <c r="S10" i="25"/>
  <c r="K10" i="25" s="1"/>
  <c r="AL25" i="25"/>
  <c r="H25" i="25"/>
  <c r="AH25" i="25" s="1"/>
  <c r="S25" i="25"/>
  <c r="K25" i="25" s="1"/>
  <c r="AL57" i="25"/>
  <c r="H57" i="25"/>
  <c r="AH57" i="25" s="1"/>
  <c r="S57" i="25"/>
  <c r="K57" i="25" s="1"/>
  <c r="AL77" i="25"/>
  <c r="H77" i="25"/>
  <c r="AH77" i="25" s="1"/>
  <c r="S77" i="25"/>
  <c r="K77" i="25" s="1"/>
  <c r="H125" i="25"/>
  <c r="AH125" i="25" s="1"/>
  <c r="AL125" i="25"/>
  <c r="S125" i="25"/>
  <c r="K125" i="25" s="1"/>
  <c r="AL27" i="25"/>
  <c r="H27" i="25"/>
  <c r="AH27" i="25" s="1"/>
  <c r="S27" i="25"/>
  <c r="K27" i="25" s="1"/>
  <c r="AL47" i="25"/>
  <c r="H47" i="25"/>
  <c r="AH47" i="25" s="1"/>
  <c r="S47" i="25"/>
  <c r="K47" i="25" s="1"/>
  <c r="AL63" i="25"/>
  <c r="H63" i="25"/>
  <c r="AH63" i="25" s="1"/>
  <c r="S63" i="25"/>
  <c r="K63" i="25" s="1"/>
  <c r="AL79" i="25"/>
  <c r="H79" i="25"/>
  <c r="AH79" i="25" s="1"/>
  <c r="S79" i="25"/>
  <c r="K79" i="25" s="1"/>
  <c r="H114" i="25"/>
  <c r="AH114" i="25" s="1"/>
  <c r="AL114" i="25"/>
  <c r="S114" i="25"/>
  <c r="K114" i="25" s="1"/>
  <c r="H218" i="25"/>
  <c r="AH218" i="25" s="1"/>
  <c r="AL218" i="25"/>
  <c r="S218" i="25"/>
  <c r="K218" i="25" s="1"/>
  <c r="H226" i="25"/>
  <c r="AH226" i="25" s="1"/>
  <c r="AL226" i="25"/>
  <c r="S226" i="25"/>
  <c r="K226" i="25" s="1"/>
  <c r="AL269" i="25"/>
  <c r="H269" i="25"/>
  <c r="AH269" i="25" s="1"/>
  <c r="S269" i="25"/>
  <c r="K269" i="25" s="1"/>
  <c r="AL91" i="25"/>
  <c r="H91" i="25"/>
  <c r="AH91" i="25" s="1"/>
  <c r="S91" i="25"/>
  <c r="K91" i="25" s="1"/>
  <c r="AL95" i="25"/>
  <c r="H95" i="25"/>
  <c r="AH95" i="25" s="1"/>
  <c r="S95" i="25"/>
  <c r="K95" i="25" s="1"/>
  <c r="AL99" i="25"/>
  <c r="H99" i="25"/>
  <c r="AH99" i="25" s="1"/>
  <c r="S99" i="25"/>
  <c r="K99" i="25" s="1"/>
  <c r="AL103" i="25"/>
  <c r="H103" i="25"/>
  <c r="AH103" i="25" s="1"/>
  <c r="S103" i="25"/>
  <c r="K103" i="25" s="1"/>
  <c r="AL115" i="25"/>
  <c r="H115" i="25"/>
  <c r="AH115" i="25" s="1"/>
  <c r="S115" i="25"/>
  <c r="K115" i="25" s="1"/>
  <c r="AL128" i="25"/>
  <c r="H128" i="25"/>
  <c r="AH128" i="25" s="1"/>
  <c r="S128" i="25"/>
  <c r="K128" i="25" s="1"/>
  <c r="AL136" i="25"/>
  <c r="H136" i="25"/>
  <c r="AH136" i="25" s="1"/>
  <c r="S136" i="25"/>
  <c r="K136" i="25" s="1"/>
  <c r="AL144" i="25"/>
  <c r="H144" i="25"/>
  <c r="AH144" i="25" s="1"/>
  <c r="S144" i="25"/>
  <c r="K144" i="25" s="1"/>
  <c r="AL152" i="25"/>
  <c r="H152" i="25"/>
  <c r="AH152" i="25" s="1"/>
  <c r="S152" i="25"/>
  <c r="K152" i="25" s="1"/>
  <c r="AL160" i="25"/>
  <c r="H160" i="25"/>
  <c r="AH160" i="25" s="1"/>
  <c r="S160" i="25"/>
  <c r="K160" i="25" s="1"/>
  <c r="AL168" i="25"/>
  <c r="H168" i="25"/>
  <c r="AH168" i="25" s="1"/>
  <c r="S168" i="25"/>
  <c r="K168" i="25" s="1"/>
  <c r="AL176" i="25"/>
  <c r="H176" i="25"/>
  <c r="AH176" i="25" s="1"/>
  <c r="S176" i="25"/>
  <c r="K176" i="25" s="1"/>
  <c r="AL184" i="25"/>
  <c r="H184" i="25"/>
  <c r="AH184" i="25" s="1"/>
  <c r="S184" i="25"/>
  <c r="K184" i="25" s="1"/>
  <c r="AL192" i="25"/>
  <c r="H192" i="25"/>
  <c r="AH192" i="25" s="1"/>
  <c r="S192" i="25"/>
  <c r="K192" i="25" s="1"/>
  <c r="H130" i="25"/>
  <c r="AH130" i="25" s="1"/>
  <c r="AL130" i="25"/>
  <c r="S130" i="25"/>
  <c r="K130" i="25" s="1"/>
  <c r="H146" i="25"/>
  <c r="AH146" i="25" s="1"/>
  <c r="AL146" i="25"/>
  <c r="S146" i="25"/>
  <c r="K146" i="25" s="1"/>
  <c r="H162" i="25"/>
  <c r="AH162" i="25" s="1"/>
  <c r="AL162" i="25"/>
  <c r="S162" i="25"/>
  <c r="K162" i="25" s="1"/>
  <c r="H178" i="25"/>
  <c r="AH178" i="25" s="1"/>
  <c r="AL178" i="25"/>
  <c r="S178" i="25"/>
  <c r="K178" i="25" s="1"/>
  <c r="H194" i="25"/>
  <c r="AH194" i="25" s="1"/>
  <c r="AL194" i="25"/>
  <c r="S194" i="25"/>
  <c r="K194" i="25" s="1"/>
  <c r="H225" i="25"/>
  <c r="AH225" i="25" s="1"/>
  <c r="AL225" i="25"/>
  <c r="S225" i="25"/>
  <c r="K225" i="25" s="1"/>
  <c r="H236" i="25"/>
  <c r="AH236" i="25" s="1"/>
  <c r="AL236" i="25"/>
  <c r="S236" i="25"/>
  <c r="K236" i="25" s="1"/>
  <c r="H244" i="25"/>
  <c r="AH244" i="25" s="1"/>
  <c r="AL244" i="25"/>
  <c r="S244" i="25"/>
  <c r="K244" i="25" s="1"/>
  <c r="H252" i="25"/>
  <c r="AH252" i="25" s="1"/>
  <c r="AL252" i="25"/>
  <c r="S252" i="25"/>
  <c r="K252" i="25" s="1"/>
  <c r="H260" i="25"/>
  <c r="AH260" i="25" s="1"/>
  <c r="AL260" i="25"/>
  <c r="S260" i="25"/>
  <c r="K260" i="25" s="1"/>
  <c r="AL268" i="25"/>
  <c r="H268" i="25"/>
  <c r="AH268" i="25" s="1"/>
  <c r="S268" i="25"/>
  <c r="K268" i="25" s="1"/>
  <c r="H287" i="25"/>
  <c r="AH287" i="25" s="1"/>
  <c r="AL287" i="25"/>
  <c r="S287" i="25"/>
  <c r="K287" i="25" s="1"/>
  <c r="AL143" i="25"/>
  <c r="H143" i="25"/>
  <c r="AH143" i="25" s="1"/>
  <c r="S143" i="25"/>
  <c r="K143" i="25" s="1"/>
  <c r="AL159" i="25"/>
  <c r="H159" i="25"/>
  <c r="AH159" i="25" s="1"/>
  <c r="S159" i="25"/>
  <c r="K159" i="25" s="1"/>
  <c r="AL175" i="25"/>
  <c r="H175" i="25"/>
  <c r="AH175" i="25" s="1"/>
  <c r="S175" i="25"/>
  <c r="K175" i="25" s="1"/>
  <c r="AL191" i="25"/>
  <c r="H191" i="25"/>
  <c r="AH191" i="25" s="1"/>
  <c r="S191" i="25"/>
  <c r="K191" i="25" s="1"/>
  <c r="H202" i="25"/>
  <c r="AH202" i="25" s="1"/>
  <c r="AL202" i="25"/>
  <c r="S202" i="25"/>
  <c r="K202" i="25" s="1"/>
  <c r="H210" i="25"/>
  <c r="AH210" i="25" s="1"/>
  <c r="AL210" i="25"/>
  <c r="S210" i="25"/>
  <c r="K210" i="25" s="1"/>
  <c r="H282" i="25"/>
  <c r="AH282" i="25" s="1"/>
  <c r="AL282" i="25"/>
  <c r="S282" i="25"/>
  <c r="K282" i="25" s="1"/>
  <c r="H207" i="25"/>
  <c r="AH207" i="25" s="1"/>
  <c r="AL207" i="25"/>
  <c r="S207" i="25"/>
  <c r="K207" i="25" s="1"/>
  <c r="H246" i="25"/>
  <c r="AH246" i="25" s="1"/>
  <c r="AL246" i="25"/>
  <c r="S246" i="25"/>
  <c r="K246" i="25" s="1"/>
  <c r="H262" i="25"/>
  <c r="AH262" i="25" s="1"/>
  <c r="AL262" i="25"/>
  <c r="S262" i="25"/>
  <c r="K262" i="25" s="1"/>
  <c r="AL299" i="25"/>
  <c r="H299" i="25"/>
  <c r="AH299" i="25" s="1"/>
  <c r="S299" i="25"/>
  <c r="K299" i="25" s="1"/>
  <c r="H233" i="25"/>
  <c r="AH233" i="25" s="1"/>
  <c r="AL233" i="25"/>
  <c r="S233" i="25"/>
  <c r="K233" i="25" s="1"/>
  <c r="H249" i="25"/>
  <c r="AH249" i="25" s="1"/>
  <c r="AL249" i="25"/>
  <c r="S249" i="25"/>
  <c r="K249" i="25" s="1"/>
  <c r="H265" i="25"/>
  <c r="AH265" i="25" s="1"/>
  <c r="AL265" i="25"/>
  <c r="S265" i="25"/>
  <c r="K265" i="25" s="1"/>
  <c r="AL276" i="25"/>
  <c r="H276" i="25"/>
  <c r="AH276" i="25" s="1"/>
  <c r="S276" i="25"/>
  <c r="K276" i="25" s="1"/>
  <c r="AL271" i="25"/>
  <c r="H271" i="25"/>
  <c r="AH271" i="25" s="1"/>
  <c r="S271" i="25"/>
  <c r="K271" i="25" s="1"/>
  <c r="H285" i="25"/>
  <c r="AH285" i="25" s="1"/>
  <c r="AL285" i="25"/>
  <c r="S285" i="25"/>
  <c r="K285" i="25" s="1"/>
  <c r="AL312" i="25"/>
  <c r="H312" i="25"/>
  <c r="AH312" i="25" s="1"/>
  <c r="S312" i="25"/>
  <c r="K312" i="25" s="1"/>
  <c r="H292" i="25"/>
  <c r="AH292" i="25" s="1"/>
  <c r="AL292" i="25"/>
  <c r="S292" i="25"/>
  <c r="K292" i="25" s="1"/>
  <c r="AL307" i="25"/>
  <c r="H307" i="25"/>
  <c r="AH307" i="25" s="1"/>
  <c r="S307" i="25"/>
  <c r="K307" i="25" s="1"/>
  <c r="AL302" i="25"/>
  <c r="H302" i="25"/>
  <c r="AH302" i="25" s="1"/>
  <c r="S302" i="25"/>
  <c r="K302" i="25" s="1"/>
  <c r="AL310" i="25"/>
  <c r="H310" i="25"/>
  <c r="AH310" i="25" s="1"/>
  <c r="S310" i="25"/>
  <c r="K310" i="25" s="1"/>
  <c r="AL26" i="25"/>
  <c r="H26" i="25"/>
  <c r="AH26" i="25" s="1"/>
  <c r="S26" i="25"/>
  <c r="K26" i="25" s="1"/>
  <c r="AL36" i="25"/>
  <c r="H36" i="25"/>
  <c r="AH36" i="25" s="1"/>
  <c r="S36" i="25"/>
  <c r="K36" i="25" s="1"/>
  <c r="AL46" i="25"/>
  <c r="H46" i="25"/>
  <c r="AH46" i="25" s="1"/>
  <c r="S46" i="25"/>
  <c r="K46" i="25" s="1"/>
  <c r="AL41" i="25"/>
  <c r="H41" i="25"/>
  <c r="AH41" i="25" s="1"/>
  <c r="S41" i="25"/>
  <c r="K41" i="25" s="1"/>
  <c r="AL81" i="25"/>
  <c r="H81" i="25"/>
  <c r="AH81" i="25" s="1"/>
  <c r="S81" i="25"/>
  <c r="K81" i="25" s="1"/>
  <c r="AL16" i="25"/>
  <c r="H16" i="25"/>
  <c r="AH16" i="25" s="1"/>
  <c r="S16" i="25"/>
  <c r="K16" i="25" s="1"/>
  <c r="AL32" i="25"/>
  <c r="H32" i="25"/>
  <c r="AH32" i="25" s="1"/>
  <c r="S32" i="25"/>
  <c r="K32" i="25" s="1"/>
  <c r="AL52" i="25"/>
  <c r="H52" i="25"/>
  <c r="AH52" i="25" s="1"/>
  <c r="S52" i="25"/>
  <c r="K52" i="25" s="1"/>
  <c r="AL68" i="25"/>
  <c r="H68" i="25"/>
  <c r="AH68" i="25" s="1"/>
  <c r="S68" i="25"/>
  <c r="K68" i="25" s="1"/>
  <c r="AL84" i="25"/>
  <c r="H84" i="25"/>
  <c r="AH84" i="25" s="1"/>
  <c r="S84" i="25"/>
  <c r="K84" i="25" s="1"/>
  <c r="AL66" i="25"/>
  <c r="H66" i="25"/>
  <c r="AH66" i="25" s="1"/>
  <c r="S66" i="25"/>
  <c r="K66" i="25" s="1"/>
  <c r="AL82" i="25"/>
  <c r="H82" i="25"/>
  <c r="AH82" i="25" s="1"/>
  <c r="S82" i="25"/>
  <c r="K82" i="25" s="1"/>
  <c r="AL116" i="25"/>
  <c r="H116" i="25"/>
  <c r="AH116" i="25" s="1"/>
  <c r="S116" i="25"/>
  <c r="K116" i="25" s="1"/>
  <c r="BO7" i="25"/>
  <c r="H7" i="25"/>
  <c r="AH7" i="25" s="1"/>
  <c r="AL7" i="25"/>
  <c r="S7" i="25"/>
  <c r="K7" i="25" s="1"/>
  <c r="H11" i="25"/>
  <c r="AH11" i="25" s="1"/>
  <c r="AL11" i="25"/>
  <c r="S11" i="25"/>
  <c r="K11" i="25" s="1"/>
  <c r="AL29" i="25"/>
  <c r="H29" i="25"/>
  <c r="AH29" i="25" s="1"/>
  <c r="S29" i="25"/>
  <c r="K29" i="25" s="1"/>
  <c r="AL61" i="25"/>
  <c r="H61" i="25"/>
  <c r="AH61" i="25" s="1"/>
  <c r="S61" i="25"/>
  <c r="K61" i="25" s="1"/>
  <c r="AL85" i="25"/>
  <c r="H85" i="25"/>
  <c r="AH85" i="25" s="1"/>
  <c r="S85" i="25"/>
  <c r="K85" i="25" s="1"/>
  <c r="AL15" i="25"/>
  <c r="H15" i="25"/>
  <c r="AH15" i="25" s="1"/>
  <c r="S15" i="25"/>
  <c r="K15" i="25" s="1"/>
  <c r="AL31" i="25"/>
  <c r="H31" i="25"/>
  <c r="AH31" i="25" s="1"/>
  <c r="S31" i="25"/>
  <c r="K31" i="25" s="1"/>
  <c r="AL51" i="25"/>
  <c r="H51" i="25"/>
  <c r="AH51" i="25" s="1"/>
  <c r="S51" i="25"/>
  <c r="K51" i="25" s="1"/>
  <c r="AL67" i="25"/>
  <c r="H67" i="25"/>
  <c r="AH67" i="25" s="1"/>
  <c r="S67" i="25"/>
  <c r="K67" i="25" s="1"/>
  <c r="AL83" i="25"/>
  <c r="H83" i="25"/>
  <c r="AH83" i="25" s="1"/>
  <c r="S83" i="25"/>
  <c r="K83" i="25" s="1"/>
  <c r="H118" i="25"/>
  <c r="AH118" i="25" s="1"/>
  <c r="AL118" i="25"/>
  <c r="S118" i="25"/>
  <c r="K118" i="25" s="1"/>
  <c r="H219" i="25"/>
  <c r="AH219" i="25" s="1"/>
  <c r="AL219" i="25"/>
  <c r="S219" i="25"/>
  <c r="K219" i="25" s="1"/>
  <c r="H227" i="25"/>
  <c r="AH227" i="25" s="1"/>
  <c r="AL227" i="25"/>
  <c r="S227" i="25"/>
  <c r="K227" i="25" s="1"/>
  <c r="AL273" i="25"/>
  <c r="H273" i="25"/>
  <c r="AH273" i="25" s="1"/>
  <c r="S273" i="25"/>
  <c r="K273" i="25" s="1"/>
  <c r="AL92" i="25"/>
  <c r="H92" i="25"/>
  <c r="AH92" i="25" s="1"/>
  <c r="S92" i="25"/>
  <c r="K92" i="25" s="1"/>
  <c r="AL96" i="25"/>
  <c r="H96" i="25"/>
  <c r="AH96" i="25" s="1"/>
  <c r="S96" i="25"/>
  <c r="K96" i="25" s="1"/>
  <c r="AL100" i="25"/>
  <c r="H100" i="25"/>
  <c r="AH100" i="25" s="1"/>
  <c r="S100" i="25"/>
  <c r="K100" i="25" s="1"/>
  <c r="AL104" i="25"/>
  <c r="H104" i="25"/>
  <c r="AH104" i="25" s="1"/>
  <c r="S104" i="25"/>
  <c r="K104" i="25" s="1"/>
  <c r="AL119" i="25"/>
  <c r="H119" i="25"/>
  <c r="AH119" i="25" s="1"/>
  <c r="S119" i="25"/>
  <c r="K119" i="25" s="1"/>
  <c r="H129" i="25"/>
  <c r="AH129" i="25" s="1"/>
  <c r="AL129" i="25"/>
  <c r="S129" i="25"/>
  <c r="K129" i="25" s="1"/>
  <c r="H137" i="25"/>
  <c r="AH137" i="25" s="1"/>
  <c r="AL137" i="25"/>
  <c r="S137" i="25"/>
  <c r="K137" i="25" s="1"/>
  <c r="H145" i="25"/>
  <c r="AH145" i="25" s="1"/>
  <c r="AL145" i="25"/>
  <c r="S145" i="25"/>
  <c r="K145" i="25" s="1"/>
  <c r="H153" i="25"/>
  <c r="AH153" i="25" s="1"/>
  <c r="AL153" i="25"/>
  <c r="S153" i="25"/>
  <c r="K153" i="25" s="1"/>
  <c r="H161" i="25"/>
  <c r="AH161" i="25" s="1"/>
  <c r="AL161" i="25"/>
  <c r="S161" i="25"/>
  <c r="K161" i="25" s="1"/>
  <c r="H169" i="25"/>
  <c r="AH169" i="25" s="1"/>
  <c r="AL169" i="25"/>
  <c r="S169" i="25"/>
  <c r="K169" i="25" s="1"/>
  <c r="H177" i="25"/>
  <c r="AH177" i="25" s="1"/>
  <c r="AL177" i="25"/>
  <c r="S177" i="25"/>
  <c r="K177" i="25" s="1"/>
  <c r="H185" i="25"/>
  <c r="AH185" i="25" s="1"/>
  <c r="AL185" i="25"/>
  <c r="S185" i="25"/>
  <c r="K185" i="25" s="1"/>
  <c r="H193" i="25"/>
  <c r="AH193" i="25" s="1"/>
  <c r="AL193" i="25"/>
  <c r="S193" i="25"/>
  <c r="K193" i="25" s="1"/>
  <c r="H134" i="25"/>
  <c r="AH134" i="25" s="1"/>
  <c r="AL134" i="25"/>
  <c r="S134" i="25"/>
  <c r="K134" i="25" s="1"/>
  <c r="H150" i="25"/>
  <c r="AH150" i="25" s="1"/>
  <c r="AL150" i="25"/>
  <c r="S150" i="25"/>
  <c r="K150" i="25" s="1"/>
  <c r="H166" i="25"/>
  <c r="AH166" i="25" s="1"/>
  <c r="AL166" i="25"/>
  <c r="S166" i="25"/>
  <c r="K166" i="25" s="1"/>
  <c r="H182" i="25"/>
  <c r="AH182" i="25" s="1"/>
  <c r="AL182" i="25"/>
  <c r="S182" i="25"/>
  <c r="K182" i="25" s="1"/>
  <c r="H198" i="25"/>
  <c r="AH198" i="25" s="1"/>
  <c r="AL198" i="25"/>
  <c r="S198" i="25"/>
  <c r="K198" i="25" s="1"/>
  <c r="H229" i="25"/>
  <c r="AH229" i="25" s="1"/>
  <c r="AL229" i="25"/>
  <c r="S229" i="25"/>
  <c r="K229" i="25" s="1"/>
  <c r="H239" i="25"/>
  <c r="AH239" i="25" s="1"/>
  <c r="AL239" i="25"/>
  <c r="S239" i="25"/>
  <c r="K239" i="25" s="1"/>
  <c r="H247" i="25"/>
  <c r="AH247" i="25" s="1"/>
  <c r="AL247" i="25"/>
  <c r="S247" i="25"/>
  <c r="K247" i="25" s="1"/>
  <c r="H255" i="25"/>
  <c r="AH255" i="25" s="1"/>
  <c r="AL255" i="25"/>
  <c r="S255" i="25"/>
  <c r="K255" i="25" s="1"/>
  <c r="H263" i="25"/>
  <c r="AH263" i="25" s="1"/>
  <c r="AL263" i="25"/>
  <c r="S263" i="25"/>
  <c r="K263" i="25" s="1"/>
  <c r="AL270" i="25"/>
  <c r="H270" i="25"/>
  <c r="AH270" i="25" s="1"/>
  <c r="S270" i="25"/>
  <c r="K270" i="25" s="1"/>
  <c r="AL131" i="25"/>
  <c r="H131" i="25"/>
  <c r="AH131" i="25" s="1"/>
  <c r="S131" i="25"/>
  <c r="K131" i="25" s="1"/>
  <c r="AL147" i="25"/>
  <c r="H147" i="25"/>
  <c r="AH147" i="25" s="1"/>
  <c r="S147" i="25"/>
  <c r="K147" i="25" s="1"/>
  <c r="AL163" i="25"/>
  <c r="H163" i="25"/>
  <c r="AH163" i="25" s="1"/>
  <c r="S163" i="25"/>
  <c r="K163" i="25" s="1"/>
  <c r="AL179" i="25"/>
  <c r="H179" i="25"/>
  <c r="AH179" i="25" s="1"/>
  <c r="S179" i="25"/>
  <c r="K179" i="25" s="1"/>
  <c r="AL195" i="25"/>
  <c r="H195" i="25"/>
  <c r="AH195" i="25" s="1"/>
  <c r="S195" i="25"/>
  <c r="K195" i="25" s="1"/>
  <c r="AL205" i="25"/>
  <c r="H205" i="25"/>
  <c r="AH205" i="25" s="1"/>
  <c r="S205" i="25"/>
  <c r="K205" i="25" s="1"/>
  <c r="H220" i="25"/>
  <c r="AH220" i="25" s="1"/>
  <c r="AL220" i="25"/>
  <c r="S220" i="25"/>
  <c r="K220" i="25" s="1"/>
  <c r="H298" i="25"/>
  <c r="AH298" i="25" s="1"/>
  <c r="AL298" i="25"/>
  <c r="S298" i="25"/>
  <c r="K298" i="25" s="1"/>
  <c r="H234" i="25"/>
  <c r="AH234" i="25" s="1"/>
  <c r="AL234" i="25"/>
  <c r="S234" i="25"/>
  <c r="K234" i="25" s="1"/>
  <c r="H250" i="25"/>
  <c r="AH250" i="25" s="1"/>
  <c r="AL250" i="25"/>
  <c r="S250" i="25"/>
  <c r="K250" i="25" s="1"/>
  <c r="H266" i="25"/>
  <c r="AH266" i="25" s="1"/>
  <c r="AL266" i="25"/>
  <c r="S266" i="25"/>
  <c r="K266" i="25" s="1"/>
  <c r="AL200" i="25"/>
  <c r="H200" i="25"/>
  <c r="AH200" i="25" s="1"/>
  <c r="S200" i="25"/>
  <c r="K200" i="25" s="1"/>
  <c r="H237" i="25"/>
  <c r="AH237" i="25" s="1"/>
  <c r="AL237" i="25"/>
  <c r="S237" i="25"/>
  <c r="K237" i="25" s="1"/>
  <c r="H253" i="25"/>
  <c r="AH253" i="25" s="1"/>
  <c r="AL253" i="25"/>
  <c r="S253" i="25"/>
  <c r="K253" i="25" s="1"/>
  <c r="H286" i="25"/>
  <c r="AH286" i="25" s="1"/>
  <c r="AL286" i="25"/>
  <c r="S286" i="25"/>
  <c r="K286" i="25" s="1"/>
  <c r="AL280" i="25"/>
  <c r="H280" i="25"/>
  <c r="AH280" i="25" s="1"/>
  <c r="S280" i="25"/>
  <c r="K280" i="25" s="1"/>
  <c r="AL275" i="25"/>
  <c r="H275" i="25"/>
  <c r="AH275" i="25" s="1"/>
  <c r="S275" i="25"/>
  <c r="K275" i="25" s="1"/>
  <c r="H289" i="25"/>
  <c r="AH289" i="25" s="1"/>
  <c r="AL289" i="25"/>
  <c r="S289" i="25"/>
  <c r="K289" i="25" s="1"/>
  <c r="AL313" i="25"/>
  <c r="H313" i="25"/>
  <c r="AH313" i="25" s="1"/>
  <c r="S313" i="25"/>
  <c r="K313" i="25" s="1"/>
  <c r="H296" i="25"/>
  <c r="AH296" i="25" s="1"/>
  <c r="AL296" i="25"/>
  <c r="S296" i="25"/>
  <c r="K296" i="25" s="1"/>
  <c r="AL311" i="25"/>
  <c r="H311" i="25"/>
  <c r="AH311" i="25" s="1"/>
  <c r="S311" i="25"/>
  <c r="K311" i="25" s="1"/>
  <c r="AL303" i="25"/>
  <c r="H303" i="25"/>
  <c r="AH303" i="25" s="1"/>
  <c r="S303" i="25"/>
  <c r="K303" i="25" s="1"/>
  <c r="AL314" i="25"/>
  <c r="H314" i="25"/>
  <c r="AH314" i="25" s="1"/>
  <c r="S314" i="25"/>
  <c r="K314" i="25" s="1"/>
  <c r="B37" i="2"/>
  <c r="B35" i="2"/>
  <c r="J67" i="23"/>
  <c r="L67" i="23" s="1"/>
  <c r="G71" i="23"/>
  <c r="H71" i="23" s="1"/>
  <c r="G17" i="23"/>
  <c r="H17" i="23" s="1"/>
  <c r="G32" i="23"/>
  <c r="H32" i="23" s="1"/>
  <c r="G54" i="23"/>
  <c r="H54" i="23" s="1"/>
  <c r="G101" i="23"/>
  <c r="H101" i="23" s="1"/>
  <c r="G30" i="23"/>
  <c r="H30" i="23" s="1"/>
  <c r="G51" i="23"/>
  <c r="H51" i="23" s="1"/>
  <c r="J103" i="23"/>
  <c r="K103" i="23" s="1"/>
  <c r="G25" i="23"/>
  <c r="H25" i="23" s="1"/>
  <c r="G80" i="23"/>
  <c r="H80" i="23" s="1"/>
  <c r="G21" i="23"/>
  <c r="H21" i="23" s="1"/>
  <c r="G105" i="23"/>
  <c r="H105" i="23" s="1"/>
  <c r="J63" i="23"/>
  <c r="L63" i="23" s="1"/>
  <c r="J88" i="23"/>
  <c r="K88" i="23" s="1"/>
  <c r="J49" i="23"/>
  <c r="K49" i="23" s="1"/>
  <c r="G92" i="23"/>
  <c r="H92" i="23" s="1"/>
  <c r="G22" i="23"/>
  <c r="H22" i="23" s="1"/>
  <c r="J20" i="23"/>
  <c r="L20" i="23" s="1"/>
  <c r="G53" i="23"/>
  <c r="H53" i="23" s="1"/>
  <c r="G73" i="23"/>
  <c r="H73" i="23" s="1"/>
  <c r="G46" i="23"/>
  <c r="H46" i="23" s="1"/>
  <c r="G6" i="23"/>
  <c r="H6" i="23" s="1"/>
  <c r="G94" i="23"/>
  <c r="H94" i="23" s="1"/>
  <c r="G90" i="23"/>
  <c r="H90" i="23" s="1"/>
  <c r="G14" i="23"/>
  <c r="H14" i="23" s="1"/>
  <c r="J60" i="23"/>
  <c r="K60" i="23" s="1"/>
  <c r="J10" i="8"/>
  <c r="B163" i="2" s="1"/>
  <c r="B227" i="2" s="1"/>
  <c r="J84" i="23"/>
  <c r="L84" i="23" s="1"/>
  <c r="G81" i="23"/>
  <c r="H81" i="23" s="1"/>
  <c r="H187" i="24"/>
  <c r="AM187" i="24"/>
  <c r="H125" i="24"/>
  <c r="AM125" i="24"/>
  <c r="H294" i="24"/>
  <c r="AM294" i="24"/>
  <c r="AM242" i="24"/>
  <c r="H242" i="24"/>
  <c r="AM174" i="24"/>
  <c r="H174" i="24"/>
  <c r="H142" i="24"/>
  <c r="AM142" i="24"/>
  <c r="H297" i="24"/>
  <c r="AM297" i="24"/>
  <c r="H265" i="24"/>
  <c r="AM265" i="24"/>
  <c r="H183" i="24"/>
  <c r="AM183" i="24"/>
  <c r="H254" i="24"/>
  <c r="AM254" i="24"/>
  <c r="AM197" i="24"/>
  <c r="H197" i="24"/>
  <c r="AM137" i="24"/>
  <c r="H137" i="24"/>
  <c r="H292" i="24"/>
  <c r="AM292" i="24"/>
  <c r="H260" i="24"/>
  <c r="AM260" i="24"/>
  <c r="H228" i="24"/>
  <c r="AM228" i="24"/>
  <c r="H298" i="24"/>
  <c r="AM298" i="24"/>
  <c r="H128" i="24"/>
  <c r="AM128" i="24"/>
  <c r="H115" i="24"/>
  <c r="AM115" i="24"/>
  <c r="AM161" i="24"/>
  <c r="H161" i="24"/>
  <c r="AM204" i="24"/>
  <c r="H204" i="24"/>
  <c r="AM188" i="24"/>
  <c r="H188" i="24"/>
  <c r="AM156" i="24"/>
  <c r="H156" i="24"/>
  <c r="H295" i="24"/>
  <c r="AM295" i="24"/>
  <c r="H263" i="24"/>
  <c r="AM263" i="24"/>
  <c r="H247" i="24"/>
  <c r="AM247" i="24"/>
  <c r="H117" i="24"/>
  <c r="AM117" i="24"/>
  <c r="H195" i="24"/>
  <c r="AM195" i="24"/>
  <c r="H207" i="24"/>
  <c r="AM207" i="24"/>
  <c r="H147" i="24"/>
  <c r="AM147" i="24"/>
  <c r="H282" i="24"/>
  <c r="AM282" i="24"/>
  <c r="AM226" i="24"/>
  <c r="H226" i="24"/>
  <c r="H186" i="24"/>
  <c r="AM186" i="24"/>
  <c r="AM170" i="24"/>
  <c r="H170" i="24"/>
  <c r="H154" i="24"/>
  <c r="AM154" i="24"/>
  <c r="AM138" i="24"/>
  <c r="H138" i="24"/>
  <c r="AM309" i="24"/>
  <c r="H309" i="24"/>
  <c r="AM293" i="24"/>
  <c r="H293" i="24"/>
  <c r="H277" i="24"/>
  <c r="AM277" i="24"/>
  <c r="AM261" i="24"/>
  <c r="H261" i="24"/>
  <c r="H245" i="24"/>
  <c r="AM245" i="24"/>
  <c r="AM229" i="24"/>
  <c r="H229" i="24"/>
  <c r="AM167" i="24"/>
  <c r="H167" i="24"/>
  <c r="AM290" i="24"/>
  <c r="H290" i="24"/>
  <c r="AM238" i="24"/>
  <c r="H238" i="24"/>
  <c r="AM190" i="24"/>
  <c r="H190" i="24"/>
  <c r="AM185" i="24"/>
  <c r="H185" i="24"/>
  <c r="AM149" i="24"/>
  <c r="H149" i="24"/>
  <c r="H133" i="24"/>
  <c r="AM133" i="24"/>
  <c r="AM304" i="24"/>
  <c r="H304" i="24"/>
  <c r="AM288" i="24"/>
  <c r="H288" i="24"/>
  <c r="H272" i="24"/>
  <c r="AM272" i="24"/>
  <c r="AM256" i="24"/>
  <c r="H256" i="24"/>
  <c r="AM240" i="24"/>
  <c r="H240" i="24"/>
  <c r="AM224" i="24"/>
  <c r="H224" i="24"/>
  <c r="AM159" i="24"/>
  <c r="H159" i="24"/>
  <c r="AM217" i="24"/>
  <c r="H217" i="24"/>
  <c r="AM286" i="24"/>
  <c r="H286" i="24"/>
  <c r="H246" i="24"/>
  <c r="AM246" i="24"/>
  <c r="AM124" i="24"/>
  <c r="H124" i="24"/>
  <c r="H112" i="24"/>
  <c r="AM112" i="24"/>
  <c r="AM205" i="24"/>
  <c r="H205" i="24"/>
  <c r="AM181" i="24"/>
  <c r="H181" i="24"/>
  <c r="H157" i="24"/>
  <c r="AM157" i="24"/>
  <c r="AM118" i="24"/>
  <c r="H118" i="24"/>
  <c r="AM200" i="24"/>
  <c r="H200" i="24"/>
  <c r="AM184" i="24"/>
  <c r="H184" i="24"/>
  <c r="H168" i="24"/>
  <c r="AM168" i="24"/>
  <c r="H152" i="24"/>
  <c r="AM152" i="24"/>
  <c r="AM136" i="24"/>
  <c r="H136" i="24"/>
  <c r="AM307" i="24"/>
  <c r="H307" i="24"/>
  <c r="AM291" i="24"/>
  <c r="H291" i="24"/>
  <c r="AM275" i="24"/>
  <c r="H275" i="24"/>
  <c r="AM259" i="24"/>
  <c r="H259" i="24"/>
  <c r="AM243" i="24"/>
  <c r="H243" i="24"/>
  <c r="H227" i="24"/>
  <c r="AM227" i="24"/>
  <c r="AM113" i="24"/>
  <c r="H113" i="24"/>
  <c r="AM163" i="24"/>
  <c r="H163" i="24"/>
  <c r="H202" i="24"/>
  <c r="AM202" i="24"/>
  <c r="AM158" i="24"/>
  <c r="H158" i="24"/>
  <c r="AM313" i="24"/>
  <c r="H313" i="24"/>
  <c r="H281" i="24"/>
  <c r="AM281" i="24"/>
  <c r="AM249" i="24"/>
  <c r="H249" i="24"/>
  <c r="H233" i="24"/>
  <c r="AM233" i="24"/>
  <c r="H306" i="24"/>
  <c r="AM306" i="24"/>
  <c r="AM198" i="24"/>
  <c r="H198" i="24"/>
  <c r="H153" i="24"/>
  <c r="AM153" i="24"/>
  <c r="H308" i="24"/>
  <c r="AM308" i="24"/>
  <c r="AM276" i="24"/>
  <c r="H276" i="24"/>
  <c r="AM244" i="24"/>
  <c r="H244" i="24"/>
  <c r="AM171" i="24"/>
  <c r="H171" i="24"/>
  <c r="H135" i="24"/>
  <c r="AM135" i="24"/>
  <c r="H258" i="24"/>
  <c r="AM258" i="24"/>
  <c r="H194" i="24"/>
  <c r="AM194" i="24"/>
  <c r="H189" i="24"/>
  <c r="AM189" i="24"/>
  <c r="AM122" i="24"/>
  <c r="H122" i="24"/>
  <c r="H172" i="24"/>
  <c r="AM172" i="24"/>
  <c r="H140" i="24"/>
  <c r="AM140" i="24"/>
  <c r="AM311" i="24"/>
  <c r="H311" i="24"/>
  <c r="AM279" i="24"/>
  <c r="H279" i="24"/>
  <c r="AM231" i="24"/>
  <c r="H231" i="24"/>
  <c r="H199" i="24"/>
  <c r="AM199" i="24"/>
  <c r="AM121" i="24"/>
  <c r="H121" i="24"/>
  <c r="H191" i="24"/>
  <c r="AM191" i="24"/>
  <c r="H131" i="24"/>
  <c r="AM131" i="24"/>
  <c r="AM262" i="24"/>
  <c r="H262" i="24"/>
  <c r="AM111" i="24"/>
  <c r="H111" i="24"/>
  <c r="AM182" i="24"/>
  <c r="H182" i="24"/>
  <c r="H166" i="24"/>
  <c r="AM166" i="24"/>
  <c r="AM150" i="24"/>
  <c r="H150" i="24"/>
  <c r="H134" i="24"/>
  <c r="AM134" i="24"/>
  <c r="AM305" i="24"/>
  <c r="H305" i="24"/>
  <c r="H289" i="24"/>
  <c r="AM289" i="24"/>
  <c r="H273" i="24"/>
  <c r="AM273" i="24"/>
  <c r="H257" i="24"/>
  <c r="AM257" i="24"/>
  <c r="H241" i="24"/>
  <c r="AM241" i="24"/>
  <c r="AM225" i="24"/>
  <c r="H225" i="24"/>
  <c r="AM155" i="24"/>
  <c r="H155" i="24"/>
  <c r="H278" i="24"/>
  <c r="AM278" i="24"/>
  <c r="AM230" i="24"/>
  <c r="H230" i="24"/>
  <c r="AM123" i="24"/>
  <c r="H123" i="24"/>
  <c r="AM173" i="24"/>
  <c r="H173" i="24"/>
  <c r="AM145" i="24"/>
  <c r="H145" i="24"/>
  <c r="AM316" i="24"/>
  <c r="H316" i="24"/>
  <c r="H300" i="24"/>
  <c r="AM300" i="24"/>
  <c r="AM284" i="24"/>
  <c r="H284" i="24"/>
  <c r="AM268" i="24"/>
  <c r="H268" i="24"/>
  <c r="AM252" i="24"/>
  <c r="H252" i="24"/>
  <c r="AM236" i="24"/>
  <c r="H236" i="24"/>
  <c r="AM220" i="24"/>
  <c r="H220" i="24"/>
  <c r="H151" i="24"/>
  <c r="AM151" i="24"/>
  <c r="H314" i="24"/>
  <c r="AM314" i="24"/>
  <c r="H274" i="24"/>
  <c r="AM274" i="24"/>
  <c r="H234" i="24"/>
  <c r="AM234" i="24"/>
  <c r="H210" i="24"/>
  <c r="AM210" i="24"/>
  <c r="H127" i="24"/>
  <c r="AM127" i="24"/>
  <c r="AM201" i="24"/>
  <c r="H201" i="24"/>
  <c r="AM177" i="24"/>
  <c r="H177" i="24"/>
  <c r="H130" i="24"/>
  <c r="AM130" i="24"/>
  <c r="H114" i="24"/>
  <c r="AM114" i="24"/>
  <c r="AM196" i="24"/>
  <c r="H196" i="24"/>
  <c r="AM180" i="24"/>
  <c r="H180" i="24"/>
  <c r="H164" i="24"/>
  <c r="AM164" i="24"/>
  <c r="AM148" i="24"/>
  <c r="H148" i="24"/>
  <c r="H132" i="24"/>
  <c r="AM132" i="24"/>
  <c r="H303" i="24"/>
  <c r="AM303" i="24"/>
  <c r="H287" i="24"/>
  <c r="AM287" i="24"/>
  <c r="AM271" i="24"/>
  <c r="H271" i="24"/>
  <c r="AM255" i="24"/>
  <c r="H255" i="24"/>
  <c r="H239" i="24"/>
  <c r="AM239" i="24"/>
  <c r="H223" i="24"/>
  <c r="AM223" i="24"/>
  <c r="H203" i="24"/>
  <c r="AM203" i="24"/>
  <c r="AM129" i="24"/>
  <c r="H129" i="24"/>
  <c r="H179" i="24"/>
  <c r="AM179" i="24"/>
  <c r="H310" i="24"/>
  <c r="AM310" i="24"/>
  <c r="H250" i="24"/>
  <c r="AM250" i="24"/>
  <c r="H120" i="24"/>
  <c r="AM120" i="24"/>
  <c r="H178" i="24"/>
  <c r="AM178" i="24"/>
  <c r="AM162" i="24"/>
  <c r="H162" i="24"/>
  <c r="H146" i="24"/>
  <c r="AM146" i="24"/>
  <c r="AM218" i="24"/>
  <c r="H218" i="24"/>
  <c r="H301" i="24"/>
  <c r="AM301" i="24"/>
  <c r="AM285" i="24"/>
  <c r="H285" i="24"/>
  <c r="H269" i="24"/>
  <c r="AM269" i="24"/>
  <c r="H253" i="24"/>
  <c r="AM253" i="24"/>
  <c r="AM237" i="24"/>
  <c r="H237" i="24"/>
  <c r="H221" i="24"/>
  <c r="AM221" i="24"/>
  <c r="AM139" i="24"/>
  <c r="H139" i="24"/>
  <c r="AM266" i="24"/>
  <c r="H266" i="24"/>
  <c r="AM116" i="24"/>
  <c r="H116" i="24"/>
  <c r="AM209" i="24"/>
  <c r="H209" i="24"/>
  <c r="AM165" i="24"/>
  <c r="H165" i="24"/>
  <c r="H141" i="24"/>
  <c r="AM141" i="24"/>
  <c r="H312" i="24"/>
  <c r="AM312" i="24"/>
  <c r="AM296" i="24"/>
  <c r="H296" i="24"/>
  <c r="H280" i="24"/>
  <c r="AM280" i="24"/>
  <c r="AM264" i="24"/>
  <c r="H264" i="24"/>
  <c r="AM248" i="24"/>
  <c r="H248" i="24"/>
  <c r="H232" i="24"/>
  <c r="AM232" i="24"/>
  <c r="H175" i="24"/>
  <c r="AM175" i="24"/>
  <c r="H143" i="24"/>
  <c r="AM143" i="24"/>
  <c r="H302" i="24"/>
  <c r="AM302" i="24"/>
  <c r="H270" i="24"/>
  <c r="AM270" i="24"/>
  <c r="AM222" i="24"/>
  <c r="H222" i="24"/>
  <c r="AM206" i="24"/>
  <c r="H206" i="24"/>
  <c r="H119" i="24"/>
  <c r="AM119" i="24"/>
  <c r="H193" i="24"/>
  <c r="AM193" i="24"/>
  <c r="AM169" i="24"/>
  <c r="H169" i="24"/>
  <c r="H126" i="24"/>
  <c r="AM126" i="24"/>
  <c r="AM208" i="24"/>
  <c r="H208" i="24"/>
  <c r="AM192" i="24"/>
  <c r="H192" i="24"/>
  <c r="AM176" i="24"/>
  <c r="H176" i="24"/>
  <c r="H160" i="24"/>
  <c r="AM160" i="24"/>
  <c r="H144" i="24"/>
  <c r="AM144" i="24"/>
  <c r="AM315" i="24"/>
  <c r="H315" i="24"/>
  <c r="AM299" i="24"/>
  <c r="H299" i="24"/>
  <c r="H283" i="24"/>
  <c r="AM283" i="24"/>
  <c r="H267" i="24"/>
  <c r="AM267" i="24"/>
  <c r="H251" i="24"/>
  <c r="AM251" i="24"/>
  <c r="H235" i="24"/>
  <c r="AM235" i="24"/>
  <c r="AM219" i="24"/>
  <c r="H219" i="24"/>
  <c r="G52" i="23"/>
  <c r="H52" i="23" s="1"/>
  <c r="G87" i="23"/>
  <c r="H87" i="23" s="1"/>
  <c r="G47" i="23"/>
  <c r="H47" i="23" s="1"/>
  <c r="G15" i="23"/>
  <c r="H15" i="23" s="1"/>
  <c r="P300" i="24"/>
  <c r="P274" i="24"/>
  <c r="P306" i="24"/>
  <c r="P227" i="24"/>
  <c r="P255" i="24"/>
  <c r="P284" i="24"/>
  <c r="P316" i="24"/>
  <c r="P237" i="24"/>
  <c r="P308" i="24"/>
  <c r="P246" i="24"/>
  <c r="P262" i="24"/>
  <c r="P294" i="24"/>
  <c r="P310" i="24"/>
  <c r="P231" i="24"/>
  <c r="P295" i="24"/>
  <c r="P292" i="24"/>
  <c r="P225" i="24"/>
  <c r="P241" i="24"/>
  <c r="P257" i="24"/>
  <c r="P289" i="24"/>
  <c r="P259" i="24"/>
  <c r="P288" i="24"/>
  <c r="P218" i="24"/>
  <c r="P266" i="24"/>
  <c r="P239" i="24"/>
  <c r="P304" i="24"/>
  <c r="P229" i="24"/>
  <c r="G34" i="23"/>
  <c r="H34" i="23" s="1"/>
  <c r="P217" i="24"/>
  <c r="P233" i="24"/>
  <c r="P249" i="24"/>
  <c r="P265" i="24"/>
  <c r="P313" i="24"/>
  <c r="P275" i="24"/>
  <c r="P303" i="24"/>
  <c r="P240" i="24"/>
  <c r="P226" i="24"/>
  <c r="P242" i="24"/>
  <c r="P258" i="24"/>
  <c r="P290" i="24"/>
  <c r="P287" i="24"/>
  <c r="P220" i="24"/>
  <c r="P252" i="24"/>
  <c r="P269" i="24"/>
  <c r="P301" i="24"/>
  <c r="P251" i="24"/>
  <c r="P283" i="24"/>
  <c r="P311" i="24"/>
  <c r="P248" i="24"/>
  <c r="P230" i="24"/>
  <c r="P278" i="24"/>
  <c r="P263" i="24"/>
  <c r="P228" i="24"/>
  <c r="P260" i="24"/>
  <c r="P293" i="24"/>
  <c r="P281" i="24"/>
  <c r="P297" i="24"/>
  <c r="P243" i="24"/>
  <c r="P272" i="24"/>
  <c r="P221" i="24"/>
  <c r="P253" i="24"/>
  <c r="P285" i="24"/>
  <c r="P280" i="24"/>
  <c r="P256" i="24"/>
  <c r="P277" i="24"/>
  <c r="P309" i="24"/>
  <c r="P235" i="24"/>
  <c r="P296" i="24"/>
  <c r="P222" i="24"/>
  <c r="P286" i="24"/>
  <c r="P302" i="24"/>
  <c r="P247" i="24"/>
  <c r="P244" i="24"/>
  <c r="P276" i="24"/>
  <c r="P312" i="24"/>
  <c r="P273" i="24"/>
  <c r="P305" i="24"/>
  <c r="P219" i="24"/>
  <c r="P291" i="24"/>
  <c r="P224" i="24"/>
  <c r="P234" i="24"/>
  <c r="P250" i="24"/>
  <c r="P282" i="24"/>
  <c r="P298" i="24"/>
  <c r="P314" i="24"/>
  <c r="P271" i="24"/>
  <c r="P307" i="24"/>
  <c r="P236" i="24"/>
  <c r="P268" i="24"/>
  <c r="P245" i="24"/>
  <c r="P261" i="24"/>
  <c r="P267" i="24"/>
  <c r="P299" i="24"/>
  <c r="P232" i="24"/>
  <c r="P264" i="24"/>
  <c r="P238" i="24"/>
  <c r="P254" i="24"/>
  <c r="P270" i="24"/>
  <c r="P223" i="24"/>
  <c r="P279" i="24"/>
  <c r="P315" i="24"/>
  <c r="AM104" i="24"/>
  <c r="AM40" i="24"/>
  <c r="AM95" i="24"/>
  <c r="AM31" i="24"/>
  <c r="AM81" i="24"/>
  <c r="AM58" i="24"/>
  <c r="AM10" i="24"/>
  <c r="AM65" i="24"/>
  <c r="AM100" i="24"/>
  <c r="AM36" i="24"/>
  <c r="AM37" i="24"/>
  <c r="AM43" i="24"/>
  <c r="AM69" i="24"/>
  <c r="AM54" i="24"/>
  <c r="AM22" i="24"/>
  <c r="AM85" i="24"/>
  <c r="AM49" i="24"/>
  <c r="AM25" i="24"/>
  <c r="AM9" i="24"/>
  <c r="AM92" i="24"/>
  <c r="AM76" i="24"/>
  <c r="AM60" i="24"/>
  <c r="AM44" i="24"/>
  <c r="AM28" i="24"/>
  <c r="AM12" i="24"/>
  <c r="AM73" i="24"/>
  <c r="AM99" i="24"/>
  <c r="AM83" i="24"/>
  <c r="AM67" i="24"/>
  <c r="AM51" i="24"/>
  <c r="AM35" i="24"/>
  <c r="AM19" i="24"/>
  <c r="AM93" i="24"/>
  <c r="AM41" i="24"/>
  <c r="AM94" i="24"/>
  <c r="AM78" i="24"/>
  <c r="AM62" i="24"/>
  <c r="AM46" i="24"/>
  <c r="AM30" i="24"/>
  <c r="AM14" i="24"/>
  <c r="AM77" i="24"/>
  <c r="AM88" i="24"/>
  <c r="AM56" i="24"/>
  <c r="AM61" i="24"/>
  <c r="AM63" i="24"/>
  <c r="AM42" i="24"/>
  <c r="AM17" i="24"/>
  <c r="AM68" i="24"/>
  <c r="AM101" i="24"/>
  <c r="AM75" i="24"/>
  <c r="AM11" i="24"/>
  <c r="AM70" i="24"/>
  <c r="AM45" i="24"/>
  <c r="AM21" i="24"/>
  <c r="AM72" i="24"/>
  <c r="AM24" i="24"/>
  <c r="AM8" i="24"/>
  <c r="AM79" i="24"/>
  <c r="AM47" i="24"/>
  <c r="AM15" i="24"/>
  <c r="AM90" i="24"/>
  <c r="AM74" i="24"/>
  <c r="AM26" i="24"/>
  <c r="AM105" i="24"/>
  <c r="AM33" i="24"/>
  <c r="AM84" i="24"/>
  <c r="AM52" i="24"/>
  <c r="AM20" i="24"/>
  <c r="AM91" i="24"/>
  <c r="AM59" i="24"/>
  <c r="AM27" i="24"/>
  <c r="AM102" i="24"/>
  <c r="AM86" i="24"/>
  <c r="AM38" i="24"/>
  <c r="AM6" i="24"/>
  <c r="AM97" i="24"/>
  <c r="AM57" i="24"/>
  <c r="AM29" i="24"/>
  <c r="AM13" i="24"/>
  <c r="AM96" i="24"/>
  <c r="AM80" i="24"/>
  <c r="AM64" i="24"/>
  <c r="AM48" i="24"/>
  <c r="AM32" i="24"/>
  <c r="AM16" i="24"/>
  <c r="AM89" i="24"/>
  <c r="AM103" i="24"/>
  <c r="AM87" i="24"/>
  <c r="AM71" i="24"/>
  <c r="AM55" i="24"/>
  <c r="AM39" i="24"/>
  <c r="AM23" i="24"/>
  <c r="AM7" i="24"/>
  <c r="AM53" i="24"/>
  <c r="AM98" i="24"/>
  <c r="AM82" i="24"/>
  <c r="AM66" i="24"/>
  <c r="AM50" i="24"/>
  <c r="AM34" i="24"/>
  <c r="AM18" i="24"/>
  <c r="Q34" i="23"/>
  <c r="Q44" i="23"/>
  <c r="Q106" i="23"/>
  <c r="Q14" i="23"/>
  <c r="Q81" i="23"/>
  <c r="Q91" i="23"/>
  <c r="Q6" i="23"/>
  <c r="Q48" i="23"/>
  <c r="Q82" i="23"/>
  <c r="Q93" i="23"/>
  <c r="Q22" i="23"/>
  <c r="Q99" i="23"/>
  <c r="Q42" i="23"/>
  <c r="Q35" i="23"/>
  <c r="H49" i="24"/>
  <c r="H92" i="24"/>
  <c r="H28" i="24"/>
  <c r="H67" i="24"/>
  <c r="H19" i="24"/>
  <c r="H94" i="24"/>
  <c r="H46" i="24"/>
  <c r="H30" i="24"/>
  <c r="Q9" i="23"/>
  <c r="Q78" i="23"/>
  <c r="Q75" i="23"/>
  <c r="Q88" i="23"/>
  <c r="Q63" i="23"/>
  <c r="Q101" i="23"/>
  <c r="Q29" i="23"/>
  <c r="Q98" i="23"/>
  <c r="Q19" i="23"/>
  <c r="Q12" i="23"/>
  <c r="Q89" i="23"/>
  <c r="Q33" i="23"/>
  <c r="Q38" i="23"/>
  <c r="Q102" i="23"/>
  <c r="Q27" i="23"/>
  <c r="Q95" i="23"/>
  <c r="Q37" i="23"/>
  <c r="Q58" i="23"/>
  <c r="Q7" i="23"/>
  <c r="Q28" i="23"/>
  <c r="Q47" i="23"/>
  <c r="J24" i="23"/>
  <c r="K24" i="23" s="1"/>
  <c r="J97" i="23"/>
  <c r="K97" i="23" s="1"/>
  <c r="H77" i="24"/>
  <c r="H45" i="24"/>
  <c r="H21" i="24"/>
  <c r="H104" i="24"/>
  <c r="H88" i="24"/>
  <c r="H72" i="24"/>
  <c r="H56" i="24"/>
  <c r="H40" i="24"/>
  <c r="H24" i="24"/>
  <c r="H8" i="24"/>
  <c r="H61" i="24"/>
  <c r="H95" i="24"/>
  <c r="H79" i="24"/>
  <c r="H63" i="24"/>
  <c r="H47" i="24"/>
  <c r="H31" i="24"/>
  <c r="H15" i="24"/>
  <c r="H81" i="24"/>
  <c r="H5" i="24"/>
  <c r="BW5" i="24" s="1"/>
  <c r="H90" i="24"/>
  <c r="H74" i="24"/>
  <c r="H58" i="24"/>
  <c r="H42" i="24"/>
  <c r="H26" i="24"/>
  <c r="H10" i="24"/>
  <c r="Q23" i="23"/>
  <c r="Q59" i="23"/>
  <c r="Q13" i="23"/>
  <c r="Q76" i="23"/>
  <c r="Q17" i="23"/>
  <c r="Q96" i="23"/>
  <c r="Q21" i="23"/>
  <c r="Q87" i="23"/>
  <c r="H25" i="24"/>
  <c r="H76" i="24"/>
  <c r="H12" i="24"/>
  <c r="H99" i="24"/>
  <c r="H35" i="24"/>
  <c r="H41" i="24"/>
  <c r="H62" i="24"/>
  <c r="H14" i="24"/>
  <c r="Q94" i="23"/>
  <c r="Q71" i="23"/>
  <c r="Q84" i="23"/>
  <c r="Q24" i="23"/>
  <c r="Q97" i="23"/>
  <c r="Q54" i="23"/>
  <c r="Q103" i="23"/>
  <c r="Q20" i="23"/>
  <c r="Q31" i="23"/>
  <c r="Q10" i="23"/>
  <c r="Q40" i="23"/>
  <c r="Q64" i="23"/>
  <c r="Q61" i="23"/>
  <c r="Q57" i="23"/>
  <c r="H105" i="24"/>
  <c r="H65" i="24"/>
  <c r="H33" i="24"/>
  <c r="H17" i="24"/>
  <c r="H100" i="24"/>
  <c r="H84" i="24"/>
  <c r="H68" i="24"/>
  <c r="H52" i="24"/>
  <c r="H36" i="24"/>
  <c r="H20" i="24"/>
  <c r="H101" i="24"/>
  <c r="H37" i="24"/>
  <c r="H91" i="24"/>
  <c r="H75" i="24"/>
  <c r="H59" i="24"/>
  <c r="H43" i="24"/>
  <c r="H27" i="24"/>
  <c r="H11" i="24"/>
  <c r="H69" i="24"/>
  <c r="H102" i="24"/>
  <c r="H86" i="24"/>
  <c r="H70" i="24"/>
  <c r="H54" i="24"/>
  <c r="H38" i="24"/>
  <c r="H22" i="24"/>
  <c r="H6" i="24"/>
  <c r="Q62" i="23"/>
  <c r="Q67" i="23"/>
  <c r="Q36" i="23"/>
  <c r="Q85" i="23"/>
  <c r="Q68" i="23"/>
  <c r="Q86" i="23"/>
  <c r="Q73" i="23"/>
  <c r="Q104" i="23"/>
  <c r="Q100" i="23"/>
  <c r="H85" i="24"/>
  <c r="H9" i="24"/>
  <c r="H60" i="24"/>
  <c r="H44" i="24"/>
  <c r="H73" i="24"/>
  <c r="H83" i="24"/>
  <c r="H51" i="24"/>
  <c r="H93" i="24"/>
  <c r="H78" i="24"/>
  <c r="Q25" i="23"/>
  <c r="Q30" i="23"/>
  <c r="Q11" i="23"/>
  <c r="Q45" i="23"/>
  <c r="Q50" i="23"/>
  <c r="Q51" i="23"/>
  <c r="Q15" i="23"/>
  <c r="Q49" i="23"/>
  <c r="Q32" i="23"/>
  <c r="Q56" i="23"/>
  <c r="Q74" i="23"/>
  <c r="G82" i="23"/>
  <c r="H82" i="23" s="1"/>
  <c r="G102" i="23"/>
  <c r="H102" i="23" s="1"/>
  <c r="G13" i="23"/>
  <c r="H13" i="23" s="1"/>
  <c r="G104" i="23"/>
  <c r="H104" i="23" s="1"/>
  <c r="Q41" i="23"/>
  <c r="Q46" i="23"/>
  <c r="Q16" i="23"/>
  <c r="Q92" i="23"/>
  <c r="Q43" i="23"/>
  <c r="Q105" i="23"/>
  <c r="Q18" i="23"/>
  <c r="Q66" i="23"/>
  <c r="Q55" i="23"/>
  <c r="Q39" i="23"/>
  <c r="Q72" i="23"/>
  <c r="Q69" i="23"/>
  <c r="Q70" i="23"/>
  <c r="Q60" i="23"/>
  <c r="Q53" i="23"/>
  <c r="Q77" i="23"/>
  <c r="Q52" i="23"/>
  <c r="Q80" i="23"/>
  <c r="Q26" i="23"/>
  <c r="Q90" i="23"/>
  <c r="Q65" i="23"/>
  <c r="Q8" i="23"/>
  <c r="Q83" i="23"/>
  <c r="Q79" i="23"/>
  <c r="H97" i="24"/>
  <c r="H57" i="24"/>
  <c r="H29" i="24"/>
  <c r="H13" i="24"/>
  <c r="H96" i="24"/>
  <c r="H80" i="24"/>
  <c r="H64" i="24"/>
  <c r="H48" i="24"/>
  <c r="H32" i="24"/>
  <c r="H16" i="24"/>
  <c r="H89" i="24"/>
  <c r="H103" i="24"/>
  <c r="H87" i="24"/>
  <c r="H71" i="24"/>
  <c r="H55" i="24"/>
  <c r="H39" i="24"/>
  <c r="H23" i="24"/>
  <c r="H7" i="24"/>
  <c r="H53" i="24"/>
  <c r="H98" i="24"/>
  <c r="H82" i="24"/>
  <c r="H66" i="24"/>
  <c r="H50" i="24"/>
  <c r="H34" i="24"/>
  <c r="H18" i="24"/>
  <c r="G85" i="23"/>
  <c r="H85" i="23" s="1"/>
  <c r="J83" i="23"/>
  <c r="L83" i="23" s="1"/>
  <c r="G12" i="23"/>
  <c r="H12" i="23" s="1"/>
  <c r="J65" i="23"/>
  <c r="L65" i="23" s="1"/>
  <c r="G61" i="23"/>
  <c r="H61" i="23" s="1"/>
  <c r="J58" i="23"/>
  <c r="L58" i="23" s="1"/>
  <c r="J100" i="23"/>
  <c r="K100" i="23" s="1"/>
  <c r="G26" i="23"/>
  <c r="H26" i="23" s="1"/>
  <c r="G91" i="23"/>
  <c r="H91" i="23" s="1"/>
  <c r="G40" i="23"/>
  <c r="H40" i="23" s="1"/>
  <c r="G55" i="23"/>
  <c r="H55" i="23" s="1"/>
  <c r="J74" i="23"/>
  <c r="L74" i="23" s="1"/>
  <c r="G35" i="23"/>
  <c r="H35" i="23" s="1"/>
  <c r="G68" i="23"/>
  <c r="H68" i="23" s="1"/>
  <c r="G29" i="23"/>
  <c r="H29" i="23" s="1"/>
  <c r="J72" i="23"/>
  <c r="K72" i="23" s="1"/>
  <c r="G45" i="23"/>
  <c r="H45" i="23" s="1"/>
  <c r="J66" i="23"/>
  <c r="L66" i="23" s="1"/>
  <c r="J95" i="23"/>
  <c r="K95" i="23" s="1"/>
  <c r="J93" i="23"/>
  <c r="L93" i="23" s="1"/>
  <c r="J42" i="23"/>
  <c r="L42" i="23" s="1"/>
  <c r="J57" i="23"/>
  <c r="K57" i="23" s="1"/>
  <c r="G37" i="23"/>
  <c r="H37" i="23" s="1"/>
  <c r="G50" i="23"/>
  <c r="H50" i="23" s="1"/>
  <c r="G64" i="23"/>
  <c r="H64" i="23" s="1"/>
  <c r="G18" i="23"/>
  <c r="H18" i="23" s="1"/>
  <c r="G10" i="23"/>
  <c r="H10" i="23" s="1"/>
  <c r="G28" i="23"/>
  <c r="H28" i="23" s="1"/>
  <c r="G8" i="23"/>
  <c r="H8" i="23" s="1"/>
  <c r="G19" i="23"/>
  <c r="H19" i="23" s="1"/>
  <c r="K26" i="23"/>
  <c r="L26" i="23"/>
  <c r="K44" i="23"/>
  <c r="L44" i="23"/>
  <c r="K102" i="23"/>
  <c r="L102" i="23"/>
  <c r="L56" i="23"/>
  <c r="K56" i="23"/>
  <c r="L35" i="23"/>
  <c r="K35" i="23"/>
  <c r="K13" i="23"/>
  <c r="L13" i="23"/>
  <c r="K30" i="23"/>
  <c r="L30" i="23"/>
  <c r="K73" i="23"/>
  <c r="L73" i="23"/>
  <c r="L16" i="23"/>
  <c r="K16" i="23"/>
  <c r="L43" i="23"/>
  <c r="K43" i="23"/>
  <c r="K33" i="23"/>
  <c r="L33" i="23"/>
  <c r="K92" i="23"/>
  <c r="L92" i="23"/>
  <c r="L59" i="23"/>
  <c r="K59" i="23"/>
  <c r="L104" i="23"/>
  <c r="K104" i="23"/>
  <c r="L47" i="23"/>
  <c r="K47" i="23"/>
  <c r="K45" i="23"/>
  <c r="L45" i="23"/>
  <c r="K101" i="23"/>
  <c r="L101" i="23"/>
  <c r="K37" i="23"/>
  <c r="L37" i="23"/>
  <c r="L79" i="23"/>
  <c r="K79" i="23"/>
  <c r="K22" i="23"/>
  <c r="L22" i="23"/>
  <c r="L12" i="23"/>
  <c r="K12" i="23"/>
  <c r="L39" i="23"/>
  <c r="K39" i="23"/>
  <c r="K21" i="23"/>
  <c r="L21" i="23"/>
  <c r="L75" i="23"/>
  <c r="K75" i="23"/>
  <c r="K17" i="23"/>
  <c r="L17" i="23"/>
  <c r="L71" i="23"/>
  <c r="K71" i="23"/>
  <c r="K69" i="23"/>
  <c r="L69" i="23"/>
  <c r="K9" i="23"/>
  <c r="L9" i="23"/>
  <c r="K29" i="23"/>
  <c r="L29" i="23"/>
  <c r="K14" i="23"/>
  <c r="L14" i="23"/>
  <c r="K53" i="23"/>
  <c r="L53" i="23"/>
  <c r="L55" i="23"/>
  <c r="K55" i="23"/>
  <c r="L51" i="23"/>
  <c r="K51" i="23"/>
  <c r="K41" i="23"/>
  <c r="L41" i="23"/>
  <c r="L96" i="23"/>
  <c r="K96" i="23"/>
  <c r="K82" i="23"/>
  <c r="L82" i="23"/>
  <c r="K50" i="23"/>
  <c r="L50" i="23"/>
  <c r="L6" i="23"/>
  <c r="K6" i="23"/>
  <c r="K61" i="23"/>
  <c r="L61" i="23"/>
  <c r="L7" i="23"/>
  <c r="K7" i="23"/>
  <c r="L87" i="23"/>
  <c r="K87" i="23"/>
  <c r="K85" i="23"/>
  <c r="L85" i="23"/>
  <c r="K25" i="23"/>
  <c r="L25" i="23"/>
  <c r="L91" i="23"/>
  <c r="K91" i="23"/>
  <c r="K38" i="23"/>
  <c r="L38" i="23"/>
  <c r="K81" i="23"/>
  <c r="L81" i="23"/>
  <c r="L31" i="23"/>
  <c r="K31" i="23"/>
  <c r="K106" i="23"/>
  <c r="L106" i="23"/>
  <c r="L80" i="23"/>
  <c r="K80" i="23"/>
  <c r="L8" i="23"/>
  <c r="K8" i="23"/>
  <c r="K54" i="23"/>
  <c r="L54" i="23"/>
  <c r="K28" i="23"/>
  <c r="L28" i="23"/>
  <c r="K70" i="23"/>
  <c r="L70" i="23"/>
  <c r="L40" i="23"/>
  <c r="K40" i="23"/>
  <c r="L19" i="23"/>
  <c r="K19" i="23"/>
  <c r="K78" i="23"/>
  <c r="L78" i="23"/>
  <c r="K68" i="23"/>
  <c r="L68" i="23"/>
  <c r="L15" i="23"/>
  <c r="K15" i="23"/>
  <c r="L64" i="23"/>
  <c r="K64" i="23"/>
  <c r="L27" i="23"/>
  <c r="K27" i="23"/>
  <c r="K76" i="23"/>
  <c r="L76" i="23"/>
  <c r="L99" i="23"/>
  <c r="K99" i="23"/>
  <c r="K46" i="23"/>
  <c r="L46" i="23"/>
  <c r="K89" i="23"/>
  <c r="L89" i="23"/>
  <c r="K94" i="23"/>
  <c r="L94" i="23"/>
  <c r="K52" i="23"/>
  <c r="L52" i="23"/>
  <c r="L48" i="23"/>
  <c r="K48" i="23"/>
  <c r="L11" i="23"/>
  <c r="K11" i="23"/>
  <c r="K62" i="23"/>
  <c r="L62" i="23"/>
  <c r="L23" i="23"/>
  <c r="K23" i="23"/>
  <c r="K86" i="23"/>
  <c r="L86" i="23"/>
  <c r="K10" i="23"/>
  <c r="L10" i="23"/>
  <c r="K36" i="23"/>
  <c r="L36" i="23"/>
  <c r="K105" i="23"/>
  <c r="L105" i="23"/>
  <c r="L32" i="23"/>
  <c r="K32" i="23"/>
  <c r="K18" i="23"/>
  <c r="L18" i="23"/>
  <c r="K98" i="23"/>
  <c r="L98" i="23"/>
  <c r="K90" i="23"/>
  <c r="L90" i="23"/>
  <c r="K34" i="23"/>
  <c r="L34" i="23"/>
  <c r="C237" i="2"/>
  <c r="B237" i="2"/>
  <c r="B153" i="2"/>
  <c r="A196" i="2"/>
  <c r="F237" i="2"/>
  <c r="B238" i="2"/>
  <c r="H238" i="2"/>
  <c r="C43" i="16" s="1"/>
  <c r="F150" i="2"/>
  <c r="E38" i="1" s="1"/>
  <c r="A197" i="2" s="1"/>
  <c r="G150" i="2"/>
  <c r="G238" i="2"/>
  <c r="C238" i="2"/>
  <c r="A238" i="2" s="1"/>
  <c r="B152" i="2"/>
  <c r="AO2" i="19"/>
  <c r="H241" i="2"/>
  <c r="F241" i="2"/>
  <c r="K48" i="16"/>
  <c r="M48" i="16" s="1"/>
  <c r="B203" i="2"/>
  <c r="A203" i="2"/>
  <c r="E30" i="1"/>
  <c r="A2" i="21"/>
  <c r="K48" i="2"/>
  <c r="G89" i="19"/>
  <c r="G64" i="19"/>
  <c r="G65" i="19"/>
  <c r="G90" i="19"/>
  <c r="G91" i="19"/>
  <c r="AY106" i="19"/>
  <c r="G66" i="19"/>
  <c r="BN106" i="19"/>
  <c r="B38" i="2" l="1"/>
  <c r="D38" i="2" s="1"/>
  <c r="CC191" i="25"/>
  <c r="CC130" i="25"/>
  <c r="CC168" i="25"/>
  <c r="CC125" i="25"/>
  <c r="CC201" i="25"/>
  <c r="CC204" i="25"/>
  <c r="CC200" i="25"/>
  <c r="CC163" i="25"/>
  <c r="CC182" i="25"/>
  <c r="CC193" i="25"/>
  <c r="CC161" i="25"/>
  <c r="CC129" i="25"/>
  <c r="CC124" i="25"/>
  <c r="CC121" i="25"/>
  <c r="CC171" i="25"/>
  <c r="CC189" i="25"/>
  <c r="CC127" i="25"/>
  <c r="CC151" i="25"/>
  <c r="CC180" i="25"/>
  <c r="CC123" i="25"/>
  <c r="CC178" i="25"/>
  <c r="CC160" i="25"/>
  <c r="CC197" i="25"/>
  <c r="CC132" i="25"/>
  <c r="CC112" i="25"/>
  <c r="CC147" i="25"/>
  <c r="CC202" i="25"/>
  <c r="CC143" i="25"/>
  <c r="CC114" i="25"/>
  <c r="CC208" i="25"/>
  <c r="CC190" i="25"/>
  <c r="CC165" i="25"/>
  <c r="CC117" i="25"/>
  <c r="CC172" i="25"/>
  <c r="CC198" i="25"/>
  <c r="CC134" i="25"/>
  <c r="CC137" i="25"/>
  <c r="CC209" i="25"/>
  <c r="CC142" i="25"/>
  <c r="CC141" i="25"/>
  <c r="CC183" i="25"/>
  <c r="CC196" i="25"/>
  <c r="CC140" i="25"/>
  <c r="CC122" i="25"/>
  <c r="CC194" i="25"/>
  <c r="CC136" i="25"/>
  <c r="CC158" i="25"/>
  <c r="CC126" i="25"/>
  <c r="CC156" i="25"/>
  <c r="CC207" i="25"/>
  <c r="CC175" i="25"/>
  <c r="CC192" i="25"/>
  <c r="CC128" i="25"/>
  <c r="CC120" i="25"/>
  <c r="CC187" i="25"/>
  <c r="CC116" i="25"/>
  <c r="CC199" i="25"/>
  <c r="CC138" i="25"/>
  <c r="CC205" i="25"/>
  <c r="CC185" i="25"/>
  <c r="CC119" i="25"/>
  <c r="CC139" i="25"/>
  <c r="CC186" i="25"/>
  <c r="CC210" i="25"/>
  <c r="CC159" i="25"/>
  <c r="CC162" i="25"/>
  <c r="CC152" i="25"/>
  <c r="CC115" i="25"/>
  <c r="CC181" i="25"/>
  <c r="CC111" i="25"/>
  <c r="CC188" i="25"/>
  <c r="CC195" i="25"/>
  <c r="CC131" i="25"/>
  <c r="CC150" i="25"/>
  <c r="CC145" i="25"/>
  <c r="CC118" i="25"/>
  <c r="CC157" i="25"/>
  <c r="CC154" i="25"/>
  <c r="CC148" i="25"/>
  <c r="CC113" i="25"/>
  <c r="BW195" i="24"/>
  <c r="BW200" i="25"/>
  <c r="BW188" i="25"/>
  <c r="BW124" i="25"/>
  <c r="BW160" i="25"/>
  <c r="BW198" i="25"/>
  <c r="BW203" i="25"/>
  <c r="BW171" i="25"/>
  <c r="BW155" i="25"/>
  <c r="BW123" i="25"/>
  <c r="BW150" i="25"/>
  <c r="BW134" i="25"/>
  <c r="BW209" i="25"/>
  <c r="BW177" i="25"/>
  <c r="BW145" i="25"/>
  <c r="BW113" i="25"/>
  <c r="BW171" i="24"/>
  <c r="BW185" i="24"/>
  <c r="BW156" i="24"/>
  <c r="BW180" i="25"/>
  <c r="BW194" i="25"/>
  <c r="BW144" i="25"/>
  <c r="BW190" i="25"/>
  <c r="BW136" i="25"/>
  <c r="BW199" i="25"/>
  <c r="BW183" i="25"/>
  <c r="BW167" i="25"/>
  <c r="BW135" i="25"/>
  <c r="BW119" i="25"/>
  <c r="BW178" i="25"/>
  <c r="BW162" i="25"/>
  <c r="BW130" i="25"/>
  <c r="BW114" i="25"/>
  <c r="BW189" i="25"/>
  <c r="BW157" i="25"/>
  <c r="BW141" i="25"/>
  <c r="BW172" i="25"/>
  <c r="BW116" i="25"/>
  <c r="BW151" i="25"/>
  <c r="BW146" i="25"/>
  <c r="BW205" i="25"/>
  <c r="BW173" i="25"/>
  <c r="BW125" i="25"/>
  <c r="BW132" i="25"/>
  <c r="BW202" i="25"/>
  <c r="BW140" i="25"/>
  <c r="BW152" i="25"/>
  <c r="BW187" i="25"/>
  <c r="BW139" i="25"/>
  <c r="BW166" i="25"/>
  <c r="BW118" i="25"/>
  <c r="BW193" i="25"/>
  <c r="BW161" i="25"/>
  <c r="BW129" i="25"/>
  <c r="BW204" i="25"/>
  <c r="BW164" i="25"/>
  <c r="BW192" i="25"/>
  <c r="BW186" i="25"/>
  <c r="BW128" i="25"/>
  <c r="BW208" i="25"/>
  <c r="BW182" i="25"/>
  <c r="BW120" i="25"/>
  <c r="BW195" i="25"/>
  <c r="BW179" i="25"/>
  <c r="BW163" i="25"/>
  <c r="BW147" i="25"/>
  <c r="BW131" i="25"/>
  <c r="BW115" i="25"/>
  <c r="BW174" i="25"/>
  <c r="BW158" i="25"/>
  <c r="BW142" i="25"/>
  <c r="BW126" i="25"/>
  <c r="BW201" i="25"/>
  <c r="BW185" i="25"/>
  <c r="BW169" i="25"/>
  <c r="BW153" i="25"/>
  <c r="BW137" i="25"/>
  <c r="BW121" i="25"/>
  <c r="Q210" i="24"/>
  <c r="BW196" i="25"/>
  <c r="BW148" i="25"/>
  <c r="BW156" i="25"/>
  <c r="BW210" i="25"/>
  <c r="BW176" i="25"/>
  <c r="BW112" i="25"/>
  <c r="BW184" i="25"/>
  <c r="BW206" i="25"/>
  <c r="BW168" i="25"/>
  <c r="BW207" i="25"/>
  <c r="BW191" i="25"/>
  <c r="BW175" i="25"/>
  <c r="BW159" i="25"/>
  <c r="BW143" i="25"/>
  <c r="BW127" i="25"/>
  <c r="BW111" i="25"/>
  <c r="BW170" i="25"/>
  <c r="BW154" i="25"/>
  <c r="BW138" i="25"/>
  <c r="BW122" i="25"/>
  <c r="BW197" i="25"/>
  <c r="BW181" i="25"/>
  <c r="BW165" i="25"/>
  <c r="BW149" i="25"/>
  <c r="BW133" i="25"/>
  <c r="BW117" i="25"/>
  <c r="BW110" i="25"/>
  <c r="BW130" i="24"/>
  <c r="BW133" i="24"/>
  <c r="BW139" i="24"/>
  <c r="BW158" i="24"/>
  <c r="BW190" i="24"/>
  <c r="BW174" i="24"/>
  <c r="BW151" i="24"/>
  <c r="BW166" i="24"/>
  <c r="BW117" i="24"/>
  <c r="BW114" i="24"/>
  <c r="BW147" i="24"/>
  <c r="BW146" i="24"/>
  <c r="BW120" i="24"/>
  <c r="BW153" i="24"/>
  <c r="BW144" i="24"/>
  <c r="BW168" i="24"/>
  <c r="BW209" i="24"/>
  <c r="BW113" i="24"/>
  <c r="BW204" i="24"/>
  <c r="BW193" i="24"/>
  <c r="BW143" i="24"/>
  <c r="BW132" i="24"/>
  <c r="BW189" i="24"/>
  <c r="BW176" i="24"/>
  <c r="BW198" i="24"/>
  <c r="BW191" i="24"/>
  <c r="J253" i="24"/>
  <c r="X253" i="24" s="1"/>
  <c r="AA253" i="24" s="1"/>
  <c r="AB253" i="24" s="1"/>
  <c r="AC253" i="24" s="1"/>
  <c r="J190" i="24"/>
  <c r="AI190" i="24" s="1"/>
  <c r="O254" i="24"/>
  <c r="J305" i="24"/>
  <c r="X305" i="24" s="1"/>
  <c r="AA305" i="24" s="1"/>
  <c r="AB305" i="24" s="1"/>
  <c r="AC305" i="24" s="1"/>
  <c r="O223" i="24"/>
  <c r="J277" i="24"/>
  <c r="AE277" i="24" s="1"/>
  <c r="O243" i="24"/>
  <c r="O285" i="24"/>
  <c r="O251" i="24"/>
  <c r="O218" i="24"/>
  <c r="O279" i="24"/>
  <c r="J130" i="24"/>
  <c r="AI130" i="24" s="1"/>
  <c r="J282" i="24"/>
  <c r="AE282" i="24" s="1"/>
  <c r="J280" i="24"/>
  <c r="AE280" i="24" s="1"/>
  <c r="O307" i="24"/>
  <c r="J260" i="24"/>
  <c r="W260" i="24" s="1"/>
  <c r="Y260" i="24" s="1"/>
  <c r="O236" i="24"/>
  <c r="J171" i="24"/>
  <c r="AI171" i="24" s="1"/>
  <c r="J193" i="24"/>
  <c r="AI193" i="24" s="1"/>
  <c r="J147" i="24"/>
  <c r="AI147" i="24" s="1"/>
  <c r="J158" i="24"/>
  <c r="AI158" i="24" s="1"/>
  <c r="O219" i="24"/>
  <c r="O200" i="24"/>
  <c r="BW200" i="24" s="1"/>
  <c r="J265" i="24"/>
  <c r="AI265" i="24" s="1"/>
  <c r="J191" i="24"/>
  <c r="AI191" i="24" s="1"/>
  <c r="O173" i="24"/>
  <c r="BW173" i="24" s="1"/>
  <c r="O309" i="24"/>
  <c r="O287" i="24"/>
  <c r="J311" i="24"/>
  <c r="X311" i="24" s="1"/>
  <c r="AA311" i="24" s="1"/>
  <c r="AB311" i="24" s="1"/>
  <c r="AC311" i="24" s="1"/>
  <c r="J283" i="24"/>
  <c r="AE283" i="24" s="1"/>
  <c r="J248" i="24"/>
  <c r="AE248" i="24" s="1"/>
  <c r="O288" i="24"/>
  <c r="O247" i="24"/>
  <c r="J132" i="24"/>
  <c r="AI132" i="24" s="1"/>
  <c r="O302" i="24"/>
  <c r="J312" i="24"/>
  <c r="W312" i="24" s="1"/>
  <c r="J290" i="24"/>
  <c r="AI290" i="24" s="1"/>
  <c r="J226" i="24"/>
  <c r="AI226" i="24" s="1"/>
  <c r="O274" i="24"/>
  <c r="O221" i="24"/>
  <c r="O224" i="24"/>
  <c r="O245" i="24"/>
  <c r="O197" i="24"/>
  <c r="BW197" i="24" s="1"/>
  <c r="O202" i="24"/>
  <c r="BW202" i="24" s="1"/>
  <c r="J289" i="24"/>
  <c r="W289" i="24" s="1"/>
  <c r="Y289" i="24" s="1"/>
  <c r="O275" i="24"/>
  <c r="J244" i="24"/>
  <c r="W244" i="24" s="1"/>
  <c r="O227" i="24"/>
  <c r="J257" i="24"/>
  <c r="W257" i="24" s="1"/>
  <c r="Y257" i="24" s="1"/>
  <c r="O240" i="24"/>
  <c r="J299" i="24"/>
  <c r="AI299" i="24" s="1"/>
  <c r="J143" i="24"/>
  <c r="AI143" i="24" s="1"/>
  <c r="J185" i="24"/>
  <c r="AI185" i="24" s="1"/>
  <c r="O235" i="24"/>
  <c r="J176" i="24"/>
  <c r="AI176" i="24" s="1"/>
  <c r="J139" i="24"/>
  <c r="AI139" i="24" s="1"/>
  <c r="O310" i="24"/>
  <c r="O135" i="24"/>
  <c r="BW135" i="24" s="1"/>
  <c r="O180" i="24"/>
  <c r="BW180" i="24" s="1"/>
  <c r="O314" i="24"/>
  <c r="J278" i="24"/>
  <c r="X278" i="24" s="1"/>
  <c r="AA278" i="24" s="1"/>
  <c r="AB278" i="24" s="1"/>
  <c r="AC278" i="24" s="1"/>
  <c r="J262" i="24"/>
  <c r="AE262" i="24" s="1"/>
  <c r="J291" i="24"/>
  <c r="AI291" i="24" s="1"/>
  <c r="O138" i="24"/>
  <c r="BW138" i="24" s="1"/>
  <c r="J237" i="24"/>
  <c r="X237" i="24" s="1"/>
  <c r="AA237" i="24" s="1"/>
  <c r="AB237" i="24" s="1"/>
  <c r="AC237" i="24" s="1"/>
  <c r="O301" i="24"/>
  <c r="O304" i="24"/>
  <c r="J195" i="24"/>
  <c r="AE195" i="24" s="1"/>
  <c r="J198" i="24"/>
  <c r="AI198" i="24" s="1"/>
  <c r="J217" i="24"/>
  <c r="X217" i="24" s="1"/>
  <c r="AA217" i="24" s="1"/>
  <c r="AB217" i="24" s="1"/>
  <c r="AC217" i="24" s="1"/>
  <c r="O140" i="24"/>
  <c r="BW140" i="24" s="1"/>
  <c r="J261" i="24"/>
  <c r="AE261" i="24" s="1"/>
  <c r="O264" i="24"/>
  <c r="O164" i="24"/>
  <c r="BW164" i="24" s="1"/>
  <c r="O234" i="24"/>
  <c r="O220" i="24"/>
  <c r="O118" i="24"/>
  <c r="BW118" i="24" s="1"/>
  <c r="J281" i="24"/>
  <c r="X281" i="24" s="1"/>
  <c r="AA281" i="24" s="1"/>
  <c r="AB281" i="24" s="1"/>
  <c r="AC281" i="24" s="1"/>
  <c r="O315" i="24"/>
  <c r="O126" i="24"/>
  <c r="BW126" i="24" s="1"/>
  <c r="O222" i="24"/>
  <c r="O297" i="24"/>
  <c r="O124" i="24"/>
  <c r="BW124" i="24" s="1"/>
  <c r="O175" i="24"/>
  <c r="BW175" i="24" s="1"/>
  <c r="O266" i="24"/>
  <c r="O178" i="24"/>
  <c r="BW178" i="24" s="1"/>
  <c r="O256" i="24"/>
  <c r="J133" i="24"/>
  <c r="AI133" i="24" s="1"/>
  <c r="J117" i="24"/>
  <c r="AI117" i="24" s="1"/>
  <c r="O233" i="24"/>
  <c r="O294" i="24"/>
  <c r="J114" i="24"/>
  <c r="AI114" i="24" s="1"/>
  <c r="J151" i="24"/>
  <c r="AI151" i="24" s="1"/>
  <c r="O268" i="24"/>
  <c r="O230" i="24"/>
  <c r="O241" i="24"/>
  <c r="J166" i="24"/>
  <c r="AI166" i="24" s="1"/>
  <c r="O121" i="24"/>
  <c r="BW121" i="24" s="1"/>
  <c r="J276" i="24"/>
  <c r="AE276" i="24" s="1"/>
  <c r="J270" i="24"/>
  <c r="AE270" i="24" s="1"/>
  <c r="J204" i="24"/>
  <c r="AI204" i="24" s="1"/>
  <c r="J156" i="24"/>
  <c r="AI156" i="24" s="1"/>
  <c r="J144" i="24"/>
  <c r="AI144" i="24" s="1"/>
  <c r="J209" i="24"/>
  <c r="AI209" i="24" s="1"/>
  <c r="J120" i="24"/>
  <c r="AI120" i="24" s="1"/>
  <c r="J295" i="24"/>
  <c r="X295" i="24" s="1"/>
  <c r="AA295" i="24" s="1"/>
  <c r="AB295" i="24" s="1"/>
  <c r="AC295" i="24" s="1"/>
  <c r="J284" i="24"/>
  <c r="AI284" i="24" s="1"/>
  <c r="J168" i="24"/>
  <c r="AI168" i="24" s="1"/>
  <c r="J267" i="24"/>
  <c r="AI267" i="24" s="1"/>
  <c r="O160" i="24"/>
  <c r="BW160" i="24" s="1"/>
  <c r="J296" i="24"/>
  <c r="AI296" i="24" s="1"/>
  <c r="J146" i="24"/>
  <c r="AI146" i="24" s="1"/>
  <c r="O250" i="24"/>
  <c r="O129" i="24"/>
  <c r="BW129" i="24" s="1"/>
  <c r="J246" i="24"/>
  <c r="X246" i="24" s="1"/>
  <c r="AA246" i="24" s="1"/>
  <c r="AB246" i="24" s="1"/>
  <c r="AC246" i="24" s="1"/>
  <c r="O303" i="24"/>
  <c r="J252" i="24"/>
  <c r="AI252" i="24" s="1"/>
  <c r="O316" i="24"/>
  <c r="J225" i="24"/>
  <c r="W225" i="24" s="1"/>
  <c r="Y225" i="24" s="1"/>
  <c r="O286" i="24"/>
  <c r="J238" i="24"/>
  <c r="X238" i="24" s="1"/>
  <c r="AA238" i="24" s="1"/>
  <c r="AB238" i="24" s="1"/>
  <c r="AC238" i="24" s="1"/>
  <c r="J189" i="24"/>
  <c r="AI189" i="24" s="1"/>
  <c r="J313" i="24"/>
  <c r="X313" i="24" s="1"/>
  <c r="AA313" i="24" s="1"/>
  <c r="AB313" i="24" s="1"/>
  <c r="AC313" i="24" s="1"/>
  <c r="J232" i="24"/>
  <c r="AI232" i="24" s="1"/>
  <c r="J269" i="24"/>
  <c r="AI269" i="24" s="1"/>
  <c r="J255" i="24"/>
  <c r="AI255" i="24" s="1"/>
  <c r="J263" i="24"/>
  <c r="AI263" i="24" s="1"/>
  <c r="J298" i="24"/>
  <c r="AE298" i="24" s="1"/>
  <c r="J308" i="24"/>
  <c r="X308" i="24" s="1"/>
  <c r="AA308" i="24" s="1"/>
  <c r="AB308" i="24" s="1"/>
  <c r="AC308" i="24" s="1"/>
  <c r="J242" i="24"/>
  <c r="AI242" i="24" s="1"/>
  <c r="O259" i="24"/>
  <c r="O258" i="24"/>
  <c r="O228" i="24"/>
  <c r="O292" i="24"/>
  <c r="O239" i="24"/>
  <c r="O271" i="24"/>
  <c r="O127" i="24"/>
  <c r="BW127" i="24" s="1"/>
  <c r="O300" i="24"/>
  <c r="O273" i="24"/>
  <c r="O111" i="24"/>
  <c r="BW111" i="24" s="1"/>
  <c r="O272" i="24"/>
  <c r="O229" i="24"/>
  <c r="O293" i="24"/>
  <c r="J231" i="24"/>
  <c r="AI231" i="24" s="1"/>
  <c r="J306" i="24"/>
  <c r="AE306" i="24" s="1"/>
  <c r="J174" i="24"/>
  <c r="AI174" i="24" s="1"/>
  <c r="J249" i="24"/>
  <c r="X249" i="24" s="1"/>
  <c r="AA249" i="24" s="1"/>
  <c r="AB249" i="24" s="1"/>
  <c r="AC249" i="24" s="1"/>
  <c r="J153" i="24"/>
  <c r="AE153" i="24" s="1"/>
  <c r="J113" i="24"/>
  <c r="AI113" i="24" s="1"/>
  <c r="BW86" i="24"/>
  <c r="BW46" i="24"/>
  <c r="BW73" i="24"/>
  <c r="BW41" i="24"/>
  <c r="BW42" i="24"/>
  <c r="BW56" i="24"/>
  <c r="BW21" i="24"/>
  <c r="BW50" i="24"/>
  <c r="BW53" i="24"/>
  <c r="BW89" i="24"/>
  <c r="BW64" i="24"/>
  <c r="BW29" i="24"/>
  <c r="BW60" i="24"/>
  <c r="BW70" i="24"/>
  <c r="BW54" i="24"/>
  <c r="BW69" i="24"/>
  <c r="BW101" i="24"/>
  <c r="BW68" i="24"/>
  <c r="BW33" i="24"/>
  <c r="BW25" i="24"/>
  <c r="BW72" i="24"/>
  <c r="BW18" i="24"/>
  <c r="BW82" i="24"/>
  <c r="BW32" i="24"/>
  <c r="BW96" i="24"/>
  <c r="BW97" i="24"/>
  <c r="BW78" i="24"/>
  <c r="BW85" i="24"/>
  <c r="BW92" i="24"/>
  <c r="BW36" i="24"/>
  <c r="BW100" i="24"/>
  <c r="BW105" i="24"/>
  <c r="BW40" i="24"/>
  <c r="BW28" i="24"/>
  <c r="BW104" i="24"/>
  <c r="BW63" i="24"/>
  <c r="BW19" i="24"/>
  <c r="BW79" i="24"/>
  <c r="J196" i="24"/>
  <c r="AI196" i="24" s="1"/>
  <c r="O196" i="24"/>
  <c r="BW196" i="24" s="1"/>
  <c r="J145" i="24"/>
  <c r="X145" i="24" s="1"/>
  <c r="AA145" i="24" s="1"/>
  <c r="AB145" i="24" s="1"/>
  <c r="AC145" i="24" s="1"/>
  <c r="O145" i="24"/>
  <c r="BW145" i="24" s="1"/>
  <c r="J150" i="24"/>
  <c r="X150" i="24" s="1"/>
  <c r="AA150" i="24" s="1"/>
  <c r="AB150" i="24" s="1"/>
  <c r="AC150" i="24" s="1"/>
  <c r="O150" i="24"/>
  <c r="BW150" i="24" s="1"/>
  <c r="J136" i="24"/>
  <c r="AE136" i="24" s="1"/>
  <c r="O136" i="24"/>
  <c r="BW136" i="24" s="1"/>
  <c r="J181" i="24"/>
  <c r="AE181" i="24" s="1"/>
  <c r="O181" i="24"/>
  <c r="BW181" i="24" s="1"/>
  <c r="J149" i="24"/>
  <c r="AI149" i="24" s="1"/>
  <c r="O149" i="24"/>
  <c r="BW149" i="24" s="1"/>
  <c r="J186" i="24"/>
  <c r="AI186" i="24" s="1"/>
  <c r="O186" i="24"/>
  <c r="BW186" i="24" s="1"/>
  <c r="J122" i="24"/>
  <c r="W122" i="24" s="1"/>
  <c r="Y122" i="24" s="1"/>
  <c r="O122" i="24"/>
  <c r="BW122" i="24" s="1"/>
  <c r="J128" i="24"/>
  <c r="X128" i="24" s="1"/>
  <c r="AA128" i="24" s="1"/>
  <c r="AB128" i="24" s="1"/>
  <c r="AC128" i="24" s="1"/>
  <c r="O128" i="24"/>
  <c r="BW128" i="24" s="1"/>
  <c r="J163" i="24"/>
  <c r="AI163" i="24" s="1"/>
  <c r="O163" i="24"/>
  <c r="BW163" i="24" s="1"/>
  <c r="J208" i="24"/>
  <c r="AE208" i="24" s="1"/>
  <c r="O208" i="24"/>
  <c r="BW208" i="24" s="1"/>
  <c r="J141" i="24"/>
  <c r="X141" i="24" s="1"/>
  <c r="AA141" i="24" s="1"/>
  <c r="AB141" i="24" s="1"/>
  <c r="AC141" i="24" s="1"/>
  <c r="O141" i="24"/>
  <c r="BW141" i="24" s="1"/>
  <c r="J179" i="24"/>
  <c r="X179" i="24" s="1"/>
  <c r="AA179" i="24" s="1"/>
  <c r="AB179" i="24" s="1"/>
  <c r="AC179" i="24" s="1"/>
  <c r="O179" i="24"/>
  <c r="BW179" i="24" s="1"/>
  <c r="BW23" i="24"/>
  <c r="BW91" i="24"/>
  <c r="J201" i="24"/>
  <c r="W201" i="24" s="1"/>
  <c r="O201" i="24"/>
  <c r="BW201" i="24" s="1"/>
  <c r="J155" i="24"/>
  <c r="AE155" i="24" s="1"/>
  <c r="O155" i="24"/>
  <c r="BW155" i="24" s="1"/>
  <c r="J131" i="24"/>
  <c r="AI131" i="24" s="1"/>
  <c r="O131" i="24"/>
  <c r="BW131" i="24" s="1"/>
  <c r="J184" i="24"/>
  <c r="X184" i="24" s="1"/>
  <c r="AA184" i="24" s="1"/>
  <c r="AB184" i="24" s="1"/>
  <c r="AC184" i="24" s="1"/>
  <c r="O184" i="24"/>
  <c r="BW184" i="24" s="1"/>
  <c r="J112" i="24"/>
  <c r="W112" i="24" s="1"/>
  <c r="O112" i="24"/>
  <c r="BW112" i="24" s="1"/>
  <c r="J154" i="24"/>
  <c r="X154" i="24" s="1"/>
  <c r="AA154" i="24" s="1"/>
  <c r="AB154" i="24" s="1"/>
  <c r="AC154" i="24" s="1"/>
  <c r="O154" i="24"/>
  <c r="BW154" i="24" s="1"/>
  <c r="J172" i="24"/>
  <c r="W172" i="24" s="1"/>
  <c r="O172" i="24"/>
  <c r="BW172" i="24" s="1"/>
  <c r="J115" i="24"/>
  <c r="AE115" i="24" s="1"/>
  <c r="O115" i="24"/>
  <c r="BW115" i="24" s="1"/>
  <c r="J183" i="24"/>
  <c r="X183" i="24" s="1"/>
  <c r="AA183" i="24" s="1"/>
  <c r="AB183" i="24" s="1"/>
  <c r="AC183" i="24" s="1"/>
  <c r="O183" i="24"/>
  <c r="BW183" i="24" s="1"/>
  <c r="J187" i="24"/>
  <c r="AE187" i="24" s="1"/>
  <c r="O187" i="24"/>
  <c r="BW187" i="24" s="1"/>
  <c r="J119" i="24"/>
  <c r="AI119" i="24" s="1"/>
  <c r="O119" i="24"/>
  <c r="BW119" i="24" s="1"/>
  <c r="J116" i="24"/>
  <c r="AE116" i="24" s="1"/>
  <c r="O116" i="24"/>
  <c r="BW116" i="24" s="1"/>
  <c r="BW87" i="24"/>
  <c r="BW31" i="24"/>
  <c r="BW27" i="24"/>
  <c r="BW83" i="24"/>
  <c r="BW14" i="24"/>
  <c r="BW10" i="24"/>
  <c r="BW74" i="24"/>
  <c r="J148" i="24"/>
  <c r="W148" i="24" s="1"/>
  <c r="Y148" i="24" s="1"/>
  <c r="O148" i="24"/>
  <c r="BW148" i="24" s="1"/>
  <c r="J177" i="24"/>
  <c r="AI177" i="24" s="1"/>
  <c r="O177" i="24"/>
  <c r="BW177" i="24" s="1"/>
  <c r="J210" i="24"/>
  <c r="W210" i="24" s="1"/>
  <c r="Y210" i="24" s="1"/>
  <c r="O210" i="24"/>
  <c r="BW210" i="24" s="1"/>
  <c r="J123" i="24"/>
  <c r="W123" i="24" s="1"/>
  <c r="O123" i="24"/>
  <c r="BW123" i="24" s="1"/>
  <c r="J134" i="24"/>
  <c r="AI134" i="24" s="1"/>
  <c r="O134" i="24"/>
  <c r="BW134" i="24" s="1"/>
  <c r="J182" i="24"/>
  <c r="X182" i="24" s="1"/>
  <c r="AA182" i="24" s="1"/>
  <c r="AB182" i="24" s="1"/>
  <c r="AC182" i="24" s="1"/>
  <c r="O182" i="24"/>
  <c r="BW182" i="24" s="1"/>
  <c r="J199" i="24"/>
  <c r="AI199" i="24" s="1"/>
  <c r="O199" i="24"/>
  <c r="BW199" i="24" s="1"/>
  <c r="J152" i="24"/>
  <c r="AI152" i="24" s="1"/>
  <c r="O152" i="24"/>
  <c r="BW152" i="24" s="1"/>
  <c r="J157" i="24"/>
  <c r="AE157" i="24" s="1"/>
  <c r="O157" i="24"/>
  <c r="BW157" i="24" s="1"/>
  <c r="J205" i="24"/>
  <c r="X205" i="24" s="1"/>
  <c r="AA205" i="24" s="1"/>
  <c r="AB205" i="24" s="1"/>
  <c r="AC205" i="24" s="1"/>
  <c r="O205" i="24"/>
  <c r="BW205" i="24" s="1"/>
  <c r="J159" i="24"/>
  <c r="AI159" i="24" s="1"/>
  <c r="O159" i="24"/>
  <c r="BW159" i="24" s="1"/>
  <c r="J167" i="24"/>
  <c r="AI167" i="24" s="1"/>
  <c r="O167" i="24"/>
  <c r="BW167" i="24" s="1"/>
  <c r="J170" i="24"/>
  <c r="X170" i="24" s="1"/>
  <c r="AA170" i="24" s="1"/>
  <c r="AB170" i="24" s="1"/>
  <c r="AC170" i="24" s="1"/>
  <c r="O170" i="24"/>
  <c r="BW170" i="24" s="1"/>
  <c r="J207" i="24"/>
  <c r="AE207" i="24" s="1"/>
  <c r="O207" i="24"/>
  <c r="BW207" i="24" s="1"/>
  <c r="J188" i="24"/>
  <c r="AI188" i="24" s="1"/>
  <c r="O188" i="24"/>
  <c r="BW188" i="24" s="1"/>
  <c r="J161" i="24"/>
  <c r="AI161" i="24" s="1"/>
  <c r="O161" i="24"/>
  <c r="BW161" i="24" s="1"/>
  <c r="J194" i="24"/>
  <c r="AI194" i="24" s="1"/>
  <c r="O194" i="24"/>
  <c r="BW194" i="24" s="1"/>
  <c r="J137" i="24"/>
  <c r="X137" i="24" s="1"/>
  <c r="AA137" i="24" s="1"/>
  <c r="AB137" i="24" s="1"/>
  <c r="AC137" i="24" s="1"/>
  <c r="O137" i="24"/>
  <c r="BW137" i="24" s="1"/>
  <c r="J142" i="24"/>
  <c r="X142" i="24" s="1"/>
  <c r="AA142" i="24" s="1"/>
  <c r="AB142" i="24" s="1"/>
  <c r="AC142" i="24" s="1"/>
  <c r="O142" i="24"/>
  <c r="BW142" i="24" s="1"/>
  <c r="J125" i="24"/>
  <c r="AI125" i="24" s="1"/>
  <c r="O125" i="24"/>
  <c r="BW125" i="24" s="1"/>
  <c r="J192" i="24"/>
  <c r="AI192" i="24" s="1"/>
  <c r="O192" i="24"/>
  <c r="BW192" i="24" s="1"/>
  <c r="J169" i="24"/>
  <c r="AE169" i="24" s="1"/>
  <c r="O169" i="24"/>
  <c r="BW169" i="24" s="1"/>
  <c r="J206" i="24"/>
  <c r="AI206" i="24" s="1"/>
  <c r="O206" i="24"/>
  <c r="BW206" i="24" s="1"/>
  <c r="J165" i="24"/>
  <c r="X165" i="24" s="1"/>
  <c r="AA165" i="24" s="1"/>
  <c r="AB165" i="24" s="1"/>
  <c r="AC165" i="24" s="1"/>
  <c r="O165" i="24"/>
  <c r="BW165" i="24" s="1"/>
  <c r="J162" i="24"/>
  <c r="AI162" i="24" s="1"/>
  <c r="O162" i="24"/>
  <c r="BW162" i="24" s="1"/>
  <c r="J203" i="24"/>
  <c r="AE203" i="24" s="1"/>
  <c r="O203" i="24"/>
  <c r="BW203" i="24" s="1"/>
  <c r="BW55" i="24"/>
  <c r="BW95" i="24"/>
  <c r="BW59" i="24"/>
  <c r="BW51" i="24"/>
  <c r="J46" i="24"/>
  <c r="AE46" i="24" s="1"/>
  <c r="J64" i="24"/>
  <c r="AE64" i="24" s="1"/>
  <c r="AF64" i="24" s="1"/>
  <c r="J95" i="24"/>
  <c r="AI95" i="24" s="1"/>
  <c r="J59" i="24"/>
  <c r="AE59" i="24" s="1"/>
  <c r="J54" i="24"/>
  <c r="AE54" i="24" s="1"/>
  <c r="J73" i="24"/>
  <c r="X73" i="24" s="1"/>
  <c r="AA73" i="24" s="1"/>
  <c r="AB73" i="24" s="1"/>
  <c r="AC73" i="24" s="1"/>
  <c r="J56" i="24"/>
  <c r="X56" i="24" s="1"/>
  <c r="AA56" i="24" s="1"/>
  <c r="AB56" i="24" s="1"/>
  <c r="AC56" i="24" s="1"/>
  <c r="J14" i="24"/>
  <c r="X14" i="24" s="1"/>
  <c r="AA14" i="24" s="1"/>
  <c r="AB14" i="24" s="1"/>
  <c r="AC14" i="24" s="1"/>
  <c r="J78" i="24"/>
  <c r="X78" i="24" s="1"/>
  <c r="AA78" i="24" s="1"/>
  <c r="AB78" i="24" s="1"/>
  <c r="AC78" i="24" s="1"/>
  <c r="J23" i="24"/>
  <c r="AI23" i="24" s="1"/>
  <c r="J87" i="24"/>
  <c r="AE87" i="24" s="1"/>
  <c r="J32" i="24"/>
  <c r="AI32" i="24" s="1"/>
  <c r="J96" i="24"/>
  <c r="W96" i="24" s="1"/>
  <c r="J97" i="24"/>
  <c r="W97" i="24" s="1"/>
  <c r="Y97" i="24" s="1"/>
  <c r="J31" i="24"/>
  <c r="AE31" i="24" s="1"/>
  <c r="J40" i="24"/>
  <c r="AE40" i="24" s="1"/>
  <c r="J18" i="24"/>
  <c r="AE18" i="24" s="1"/>
  <c r="J82" i="24"/>
  <c r="AE82" i="24" s="1"/>
  <c r="J27" i="24"/>
  <c r="AI27" i="24" s="1"/>
  <c r="J91" i="24"/>
  <c r="X91" i="24" s="1"/>
  <c r="AA91" i="24" s="1"/>
  <c r="AB91" i="24" s="1"/>
  <c r="AC91" i="24" s="1"/>
  <c r="J36" i="24"/>
  <c r="AI36" i="24" s="1"/>
  <c r="J100" i="24"/>
  <c r="AI100" i="24" s="1"/>
  <c r="J105" i="24"/>
  <c r="AI105" i="24" s="1"/>
  <c r="J63" i="24"/>
  <c r="AE63" i="24" s="1"/>
  <c r="J10" i="24"/>
  <c r="AI10" i="24" s="1"/>
  <c r="J74" i="24"/>
  <c r="X74" i="24" s="1"/>
  <c r="AA74" i="24" s="1"/>
  <c r="AB74" i="24" s="1"/>
  <c r="AC74" i="24" s="1"/>
  <c r="J19" i="24"/>
  <c r="AE19" i="24" s="1"/>
  <c r="J83" i="24"/>
  <c r="X83" i="24" s="1"/>
  <c r="AA83" i="24" s="1"/>
  <c r="AB83" i="24" s="1"/>
  <c r="AC83" i="24" s="1"/>
  <c r="J28" i="24"/>
  <c r="AE28" i="24" s="1"/>
  <c r="J92" i="24"/>
  <c r="AE92" i="24" s="1"/>
  <c r="J85" i="24"/>
  <c r="X85" i="24" s="1"/>
  <c r="AA85" i="24" s="1"/>
  <c r="AB85" i="24" s="1"/>
  <c r="AC85" i="24" s="1"/>
  <c r="J79" i="24"/>
  <c r="AE79" i="24" s="1"/>
  <c r="J53" i="24"/>
  <c r="X53" i="24" s="1"/>
  <c r="AA53" i="24" s="1"/>
  <c r="AB53" i="24" s="1"/>
  <c r="AC53" i="24" s="1"/>
  <c r="J89" i="24"/>
  <c r="AE89" i="24" s="1"/>
  <c r="J70" i="24"/>
  <c r="AI70" i="24" s="1"/>
  <c r="J21" i="24"/>
  <c r="W21" i="24" s="1"/>
  <c r="J69" i="24"/>
  <c r="AI69" i="24" s="1"/>
  <c r="J101" i="24"/>
  <c r="X101" i="24" s="1"/>
  <c r="AA101" i="24" s="1"/>
  <c r="AB101" i="24" s="1"/>
  <c r="AC101" i="24" s="1"/>
  <c r="J33" i="24"/>
  <c r="W33" i="24" s="1"/>
  <c r="J42" i="24"/>
  <c r="AI42" i="24" s="1"/>
  <c r="J41" i="24"/>
  <c r="AE41" i="24" s="1"/>
  <c r="J60" i="24"/>
  <c r="AI60" i="24" s="1"/>
  <c r="J86" i="24"/>
  <c r="X86" i="24" s="1"/>
  <c r="AA86" i="24" s="1"/>
  <c r="AB86" i="24" s="1"/>
  <c r="AC86" i="24" s="1"/>
  <c r="J55" i="24"/>
  <c r="W55" i="24" s="1"/>
  <c r="Y55" i="24" s="1"/>
  <c r="J29" i="24"/>
  <c r="AE29" i="24" s="1"/>
  <c r="J50" i="24"/>
  <c r="AI50" i="24" s="1"/>
  <c r="J68" i="24"/>
  <c r="AE68" i="24" s="1"/>
  <c r="J72" i="24"/>
  <c r="AE72" i="24" s="1"/>
  <c r="J51" i="24"/>
  <c r="AE51" i="24" s="1"/>
  <c r="J25" i="24"/>
  <c r="AI25" i="24" s="1"/>
  <c r="J104" i="24"/>
  <c r="AI104" i="24" s="1"/>
  <c r="P110" i="24"/>
  <c r="Q110" i="24"/>
  <c r="Q27" i="24"/>
  <c r="R27" i="24" s="1"/>
  <c r="Q70" i="24"/>
  <c r="R70" i="24" s="1"/>
  <c r="Q79" i="24"/>
  <c r="R79" i="24" s="1"/>
  <c r="Q53" i="24"/>
  <c r="R53" i="24" s="1"/>
  <c r="Q23" i="24"/>
  <c r="R23" i="24" s="1"/>
  <c r="Q32" i="24"/>
  <c r="R32" i="24" s="1"/>
  <c r="Q97" i="24"/>
  <c r="Q59" i="24"/>
  <c r="Q86" i="24"/>
  <c r="Q95" i="24"/>
  <c r="R95" i="24" s="1"/>
  <c r="Q104" i="24"/>
  <c r="R104" i="24" s="1"/>
  <c r="Q33" i="24"/>
  <c r="Q41" i="24"/>
  <c r="R41" i="24" s="1"/>
  <c r="Q51" i="24"/>
  <c r="Q73" i="24"/>
  <c r="R73" i="24" s="1"/>
  <c r="Q25" i="24"/>
  <c r="R25" i="24" s="1"/>
  <c r="Q78" i="24"/>
  <c r="R78" i="24" s="1"/>
  <c r="Q101" i="24"/>
  <c r="R101" i="24" s="1"/>
  <c r="Q21" i="24"/>
  <c r="R21" i="24" s="1"/>
  <c r="Q100" i="24"/>
  <c r="R100" i="24" s="1"/>
  <c r="Q55" i="24"/>
  <c r="Q64" i="24"/>
  <c r="R64" i="24" s="1"/>
  <c r="Q68" i="24"/>
  <c r="R68" i="24" s="1"/>
  <c r="Q54" i="24"/>
  <c r="Q63" i="24"/>
  <c r="R63" i="24" s="1"/>
  <c r="Q69" i="24"/>
  <c r="R69" i="24" s="1"/>
  <c r="Q10" i="24"/>
  <c r="R10" i="24" s="1"/>
  <c r="Q19" i="24"/>
  <c r="Q28" i="24"/>
  <c r="R28" i="24" s="1"/>
  <c r="Q85" i="24"/>
  <c r="R85" i="24" s="1"/>
  <c r="Q105" i="24"/>
  <c r="P41" i="24"/>
  <c r="P27" i="24"/>
  <c r="T30" i="24"/>
  <c r="O30" i="24" s="1"/>
  <c r="BW30" i="24" s="1"/>
  <c r="P78" i="24"/>
  <c r="T39" i="24"/>
  <c r="O39" i="24" s="1"/>
  <c r="BW39" i="24" s="1"/>
  <c r="T48" i="24"/>
  <c r="O48" i="24" s="1"/>
  <c r="BW48" i="24" s="1"/>
  <c r="T38" i="24"/>
  <c r="O38" i="24" s="1"/>
  <c r="BW38" i="24" s="1"/>
  <c r="T88" i="24"/>
  <c r="O88" i="24" s="1"/>
  <c r="BW88" i="24" s="1"/>
  <c r="T98" i="24"/>
  <c r="O98" i="24" s="1"/>
  <c r="BW98" i="24" s="1"/>
  <c r="T37" i="24"/>
  <c r="O37" i="24" s="1"/>
  <c r="BW37" i="24" s="1"/>
  <c r="T17" i="24"/>
  <c r="O17" i="24" s="1"/>
  <c r="BW17" i="24" s="1"/>
  <c r="T61" i="24"/>
  <c r="O61" i="24" s="1"/>
  <c r="BW61" i="24" s="1"/>
  <c r="T90" i="24"/>
  <c r="O90" i="24" s="1"/>
  <c r="BW90" i="24" s="1"/>
  <c r="T99" i="24"/>
  <c r="O99" i="24" s="1"/>
  <c r="BW99" i="24" s="1"/>
  <c r="T9" i="24"/>
  <c r="O9" i="24" s="1"/>
  <c r="BW9" i="24" s="1"/>
  <c r="T8" i="24"/>
  <c r="O8" i="24" s="1"/>
  <c r="BW8" i="24" s="1"/>
  <c r="T7" i="24"/>
  <c r="O7" i="24" s="1"/>
  <c r="BW7" i="24" s="1"/>
  <c r="T16" i="24"/>
  <c r="O16" i="24" s="1"/>
  <c r="BW16" i="24" s="1"/>
  <c r="T57" i="24"/>
  <c r="O57" i="24" s="1"/>
  <c r="BW57" i="24" s="1"/>
  <c r="T24" i="24"/>
  <c r="O24" i="24" s="1"/>
  <c r="BW24" i="24" s="1"/>
  <c r="T66" i="24"/>
  <c r="O66" i="24" s="1"/>
  <c r="BW66" i="24" s="1"/>
  <c r="T75" i="24"/>
  <c r="O75" i="24" s="1"/>
  <c r="BW75" i="24" s="1"/>
  <c r="T84" i="24"/>
  <c r="O84" i="24" s="1"/>
  <c r="BW84" i="24" s="1"/>
  <c r="T81" i="24"/>
  <c r="O81" i="24" s="1"/>
  <c r="BW81" i="24" s="1"/>
  <c r="T58" i="24"/>
  <c r="O58" i="24" s="1"/>
  <c r="BW58" i="24" s="1"/>
  <c r="T67" i="24"/>
  <c r="O67" i="24" s="1"/>
  <c r="BW67" i="24" s="1"/>
  <c r="T76" i="24"/>
  <c r="O76" i="24" s="1"/>
  <c r="BW76" i="24" s="1"/>
  <c r="T15" i="24"/>
  <c r="O15" i="24" s="1"/>
  <c r="BW15" i="24" s="1"/>
  <c r="T94" i="24"/>
  <c r="O94" i="24" s="1"/>
  <c r="BW94" i="24" s="1"/>
  <c r="T103" i="24"/>
  <c r="O103" i="24" s="1"/>
  <c r="BW103" i="24" s="1"/>
  <c r="T13" i="24"/>
  <c r="O13" i="24" s="1"/>
  <c r="BW13" i="24" s="1"/>
  <c r="T47" i="24"/>
  <c r="O47" i="24" s="1"/>
  <c r="BW47" i="24" s="1"/>
  <c r="T34" i="24"/>
  <c r="O34" i="24" s="1"/>
  <c r="BW34" i="24" s="1"/>
  <c r="T43" i="24"/>
  <c r="O43" i="24" s="1"/>
  <c r="BW43" i="24" s="1"/>
  <c r="T52" i="24"/>
  <c r="O52" i="24" s="1"/>
  <c r="BW52" i="24" s="1"/>
  <c r="T6" i="24"/>
  <c r="O6" i="24" s="1"/>
  <c r="BW6" i="24" s="1"/>
  <c r="T26" i="24"/>
  <c r="O26" i="24" s="1"/>
  <c r="BW26" i="24" s="1"/>
  <c r="T35" i="24"/>
  <c r="O35" i="24" s="1"/>
  <c r="BW35" i="24" s="1"/>
  <c r="T44" i="24"/>
  <c r="O44" i="24" s="1"/>
  <c r="BW44" i="24" s="1"/>
  <c r="T22" i="24"/>
  <c r="O22" i="24" s="1"/>
  <c r="BW22" i="24" s="1"/>
  <c r="P79" i="24"/>
  <c r="P28" i="24"/>
  <c r="T62" i="24"/>
  <c r="O62" i="24" s="1"/>
  <c r="BW62" i="24" s="1"/>
  <c r="AP53" i="24"/>
  <c r="T71" i="24"/>
  <c r="O71" i="24" s="1"/>
  <c r="BW71" i="24" s="1"/>
  <c r="T80" i="24"/>
  <c r="O80" i="24" s="1"/>
  <c r="BW80" i="24" s="1"/>
  <c r="T102" i="24"/>
  <c r="O102" i="24" s="1"/>
  <c r="BW102" i="24" s="1"/>
  <c r="T77" i="24"/>
  <c r="O77" i="24" s="1"/>
  <c r="BW77" i="24" s="1"/>
  <c r="T11" i="24"/>
  <c r="O11" i="24" s="1"/>
  <c r="BW11" i="24" s="1"/>
  <c r="T20" i="24"/>
  <c r="O20" i="24" s="1"/>
  <c r="BW20" i="24" s="1"/>
  <c r="T65" i="24"/>
  <c r="O65" i="24" s="1"/>
  <c r="BW65" i="24" s="1"/>
  <c r="T45" i="24"/>
  <c r="O45" i="24" s="1"/>
  <c r="BW45" i="24" s="1"/>
  <c r="T93" i="24"/>
  <c r="O93" i="24" s="1"/>
  <c r="BW93" i="24" s="1"/>
  <c r="T12" i="24"/>
  <c r="O12" i="24" s="1"/>
  <c r="BW12" i="24" s="1"/>
  <c r="T49" i="24"/>
  <c r="O49" i="24" s="1"/>
  <c r="BW49" i="24" s="1"/>
  <c r="P53" i="24"/>
  <c r="P64" i="24"/>
  <c r="P68" i="24"/>
  <c r="P63" i="24"/>
  <c r="P10" i="24"/>
  <c r="AI5" i="24"/>
  <c r="R5" i="24"/>
  <c r="X110" i="24"/>
  <c r="AA110" i="24" s="1"/>
  <c r="AB110" i="24" s="1"/>
  <c r="AC110" i="24" s="1"/>
  <c r="AP110" i="24"/>
  <c r="AE5" i="24"/>
  <c r="AF5" i="24" s="1"/>
  <c r="CB162" i="25"/>
  <c r="R110" i="25"/>
  <c r="AO216" i="25"/>
  <c r="AP216" i="24"/>
  <c r="Q216" i="25"/>
  <c r="CB216" i="25" s="1"/>
  <c r="R216" i="25"/>
  <c r="K77" i="23"/>
  <c r="M77" i="23" s="1"/>
  <c r="CB131" i="25"/>
  <c r="CB113" i="25"/>
  <c r="X5" i="24"/>
  <c r="AA5" i="24" s="1"/>
  <c r="AB5" i="24" s="1"/>
  <c r="AC5" i="24" s="1"/>
  <c r="CB137" i="25"/>
  <c r="CB120" i="25"/>
  <c r="CB112" i="25"/>
  <c r="CB117" i="25"/>
  <c r="CB122" i="25"/>
  <c r="CB124" i="25"/>
  <c r="AO110" i="25"/>
  <c r="CB118" i="25"/>
  <c r="CB114" i="25"/>
  <c r="S110" i="25"/>
  <c r="K110" i="25" s="1"/>
  <c r="AD110" i="25" s="1"/>
  <c r="AE110" i="25" s="1"/>
  <c r="P216" i="24"/>
  <c r="CB216" i="24" s="1"/>
  <c r="B201" i="2"/>
  <c r="BW103" i="25"/>
  <c r="BW91" i="25"/>
  <c r="BW102" i="25"/>
  <c r="BW49" i="25"/>
  <c r="BW90" i="25"/>
  <c r="BW105" i="25"/>
  <c r="BW101" i="25"/>
  <c r="BW97" i="25"/>
  <c r="BW93" i="25"/>
  <c r="BW5" i="25"/>
  <c r="R5" i="25"/>
  <c r="BW104" i="25"/>
  <c r="BW96" i="25"/>
  <c r="BW63" i="25"/>
  <c r="BW47" i="25"/>
  <c r="BW27" i="25"/>
  <c r="BW77" i="25"/>
  <c r="BW57" i="25"/>
  <c r="BW25" i="25"/>
  <c r="BW6" i="25"/>
  <c r="BW69" i="25"/>
  <c r="BW21" i="25"/>
  <c r="BW35" i="25"/>
  <c r="BW22" i="25"/>
  <c r="BW60" i="25"/>
  <c r="BW24" i="25"/>
  <c r="BW38" i="25"/>
  <c r="BW18" i="25"/>
  <c r="BW71" i="25"/>
  <c r="BW39" i="25"/>
  <c r="BW65" i="25"/>
  <c r="BW33" i="25"/>
  <c r="BW43" i="25"/>
  <c r="BW73" i="25"/>
  <c r="BW17" i="25"/>
  <c r="BW74" i="25"/>
  <c r="BW34" i="25"/>
  <c r="S5" i="25"/>
  <c r="K5" i="25" s="1"/>
  <c r="AD5" i="25" s="1"/>
  <c r="AE5" i="25" s="1"/>
  <c r="BW95" i="25"/>
  <c r="BW94" i="25"/>
  <c r="BW59" i="25"/>
  <c r="BW9" i="25"/>
  <c r="BW54" i="25"/>
  <c r="BW100" i="25"/>
  <c r="BW92" i="25"/>
  <c r="BW83" i="25"/>
  <c r="BW67" i="25"/>
  <c r="BW51" i="25"/>
  <c r="BW31" i="25"/>
  <c r="BW15" i="25"/>
  <c r="BW85" i="25"/>
  <c r="BW61" i="25"/>
  <c r="BW29" i="25"/>
  <c r="BW82" i="25"/>
  <c r="BW81" i="25"/>
  <c r="BW41" i="25"/>
  <c r="BW36" i="25"/>
  <c r="BW26" i="25"/>
  <c r="BW79" i="25"/>
  <c r="BW10" i="25"/>
  <c r="BW78" i="25"/>
  <c r="BW62" i="25"/>
  <c r="BW80" i="25"/>
  <c r="BW64" i="25"/>
  <c r="BW48" i="25"/>
  <c r="BW28" i="25"/>
  <c r="BW12" i="25"/>
  <c r="BW42" i="25"/>
  <c r="BW87" i="25"/>
  <c r="BW55" i="25"/>
  <c r="BW19" i="25"/>
  <c r="BW13" i="25"/>
  <c r="BW89" i="25"/>
  <c r="BW45" i="25"/>
  <c r="BW37" i="25"/>
  <c r="BW75" i="25"/>
  <c r="BW23" i="25"/>
  <c r="BW76" i="25"/>
  <c r="BW44" i="25"/>
  <c r="BW58" i="25"/>
  <c r="Q5" i="25"/>
  <c r="BW99" i="25"/>
  <c r="BW53" i="25"/>
  <c r="BW11" i="25"/>
  <c r="BW7" i="25"/>
  <c r="BW66" i="25"/>
  <c r="BW84" i="25"/>
  <c r="BW68" i="25"/>
  <c r="BW52" i="25"/>
  <c r="BW32" i="25"/>
  <c r="BW16" i="25"/>
  <c r="BW46" i="25"/>
  <c r="BW8" i="25"/>
  <c r="BW86" i="25"/>
  <c r="BW70" i="25"/>
  <c r="BW88" i="25"/>
  <c r="BW72" i="25"/>
  <c r="BW56" i="25"/>
  <c r="BW40" i="25"/>
  <c r="BW20" i="25"/>
  <c r="BW50" i="25"/>
  <c r="BW30" i="25"/>
  <c r="BW14" i="25"/>
  <c r="BW98" i="25"/>
  <c r="AO5" i="25"/>
  <c r="BK6" i="19"/>
  <c r="BB6" i="19"/>
  <c r="BH7" i="19"/>
  <c r="BF6" i="19"/>
  <c r="BK7" i="19"/>
  <c r="BS7" i="19"/>
  <c r="BF9" i="19"/>
  <c r="BH9" i="19"/>
  <c r="BD9" i="19"/>
  <c r="BA6" i="19"/>
  <c r="BI6" i="19"/>
  <c r="BD6" i="19"/>
  <c r="AZ7" i="19"/>
  <c r="BL7" i="19" s="1"/>
  <c r="BM7" i="19" s="1"/>
  <c r="BZ7" i="19" s="1"/>
  <c r="BG7" i="19"/>
  <c r="BJ7" i="19"/>
  <c r="BS6" i="19"/>
  <c r="AZ6" i="19"/>
  <c r="BL6" i="19" s="1"/>
  <c r="BM6" i="19" s="1"/>
  <c r="BZ6" i="19" s="1"/>
  <c r="BG6" i="19"/>
  <c r="BB7" i="19"/>
  <c r="BF7" i="19"/>
  <c r="BA7" i="19"/>
  <c r="BC6" i="19"/>
  <c r="BH6" i="19"/>
  <c r="BE6" i="19"/>
  <c r="BE7" i="19"/>
  <c r="BI7" i="19"/>
  <c r="BB9" i="19"/>
  <c r="BI9" i="19"/>
  <c r="BB8" i="19"/>
  <c r="BS8" i="19"/>
  <c r="BJ9" i="19"/>
  <c r="BS9" i="19"/>
  <c r="BK8" i="19"/>
  <c r="AZ9" i="19"/>
  <c r="BL9" i="19" s="1"/>
  <c r="BM9" i="19" s="1"/>
  <c r="BZ9" i="19" s="1"/>
  <c r="BD8" i="19"/>
  <c r="BE8" i="19"/>
  <c r="BG8" i="19"/>
  <c r="BE9" i="19"/>
  <c r="BA9" i="19"/>
  <c r="BG9" i="19"/>
  <c r="BH8" i="19"/>
  <c r="BI8" i="19"/>
  <c r="BF8" i="19"/>
  <c r="AZ8" i="19"/>
  <c r="BL8" i="19" s="1"/>
  <c r="BM8" i="19" s="1"/>
  <c r="BZ8" i="19" s="1"/>
  <c r="BK9" i="19"/>
  <c r="BC9" i="19"/>
  <c r="BA8" i="19"/>
  <c r="BJ8" i="19"/>
  <c r="AD216" i="25"/>
  <c r="AE216" i="25" s="1"/>
  <c r="W216" i="25"/>
  <c r="Z216" i="25" s="1"/>
  <c r="AA216" i="25" s="1"/>
  <c r="AB216" i="25" s="1"/>
  <c r="V216" i="25"/>
  <c r="X216" i="25" s="1"/>
  <c r="AD289" i="25"/>
  <c r="AE289" i="25" s="1"/>
  <c r="W289" i="25"/>
  <c r="Z289" i="25" s="1"/>
  <c r="AA289" i="25" s="1"/>
  <c r="AB289" i="25" s="1"/>
  <c r="AD253" i="25"/>
  <c r="AE253" i="25" s="1"/>
  <c r="W253" i="25"/>
  <c r="Z253" i="25" s="1"/>
  <c r="AA253" i="25" s="1"/>
  <c r="AB253" i="25" s="1"/>
  <c r="AO266" i="25"/>
  <c r="V205" i="25"/>
  <c r="U205" i="25"/>
  <c r="AD247" i="25"/>
  <c r="AE247" i="25" s="1"/>
  <c r="W247" i="25"/>
  <c r="Z247" i="25" s="1"/>
  <c r="AA247" i="25" s="1"/>
  <c r="AB247" i="25" s="1"/>
  <c r="AO182" i="25"/>
  <c r="AO185" i="25"/>
  <c r="AO153" i="25"/>
  <c r="AO273" i="25"/>
  <c r="U219" i="25"/>
  <c r="V219" i="25"/>
  <c r="AO83" i="25"/>
  <c r="AO85" i="25"/>
  <c r="AO29" i="25"/>
  <c r="W66" i="25"/>
  <c r="Z66" i="25" s="1"/>
  <c r="AA66" i="25" s="1"/>
  <c r="AB66" i="25" s="1"/>
  <c r="AD66" i="25"/>
  <c r="AE66" i="25" s="1"/>
  <c r="W68" i="25"/>
  <c r="Z68" i="25" s="1"/>
  <c r="AA68" i="25" s="1"/>
  <c r="AB68" i="25" s="1"/>
  <c r="AD68" i="25"/>
  <c r="AE68" i="25" s="1"/>
  <c r="AD16" i="25"/>
  <c r="AE16" i="25" s="1"/>
  <c r="W16" i="25"/>
  <c r="Z16" i="25" s="1"/>
  <c r="AA16" i="25" s="1"/>
  <c r="AB16" i="25" s="1"/>
  <c r="W36" i="25"/>
  <c r="Z36" i="25" s="1"/>
  <c r="AA36" i="25" s="1"/>
  <c r="AB36" i="25" s="1"/>
  <c r="AD36" i="25"/>
  <c r="AE36" i="25" s="1"/>
  <c r="AO36" i="25"/>
  <c r="U292" i="25"/>
  <c r="V292" i="25"/>
  <c r="AO265" i="25"/>
  <c r="V299" i="25"/>
  <c r="U299" i="25"/>
  <c r="AD282" i="25"/>
  <c r="AE282" i="25" s="1"/>
  <c r="W282" i="25"/>
  <c r="Z282" i="25" s="1"/>
  <c r="AA282" i="25" s="1"/>
  <c r="AB282" i="25" s="1"/>
  <c r="AO143" i="25"/>
  <c r="AO268" i="25"/>
  <c r="U260" i="25"/>
  <c r="V260" i="25"/>
  <c r="AO252" i="25"/>
  <c r="AD194" i="25"/>
  <c r="AE194" i="25" s="1"/>
  <c r="W194" i="25"/>
  <c r="Z194" i="25" s="1"/>
  <c r="AA194" i="25" s="1"/>
  <c r="AB194" i="25" s="1"/>
  <c r="AD162" i="25"/>
  <c r="AE162" i="25" s="1"/>
  <c r="W162" i="25"/>
  <c r="Z162" i="25" s="1"/>
  <c r="AA162" i="25" s="1"/>
  <c r="AB162" i="25" s="1"/>
  <c r="V192" i="25"/>
  <c r="U192" i="25"/>
  <c r="W168" i="25"/>
  <c r="Z168" i="25" s="1"/>
  <c r="AA168" i="25" s="1"/>
  <c r="AB168" i="25" s="1"/>
  <c r="AD168" i="25"/>
  <c r="AE168" i="25" s="1"/>
  <c r="V144" i="25"/>
  <c r="U144" i="25"/>
  <c r="AD95" i="25"/>
  <c r="AE95" i="25" s="1"/>
  <c r="W95" i="25"/>
  <c r="Z95" i="25" s="1"/>
  <c r="AA95" i="25" s="1"/>
  <c r="AB95" i="25" s="1"/>
  <c r="V62" i="25"/>
  <c r="U62" i="25"/>
  <c r="AD261" i="25"/>
  <c r="AE261" i="25" s="1"/>
  <c r="W261" i="25"/>
  <c r="Z261" i="25" s="1"/>
  <c r="AA261" i="25" s="1"/>
  <c r="AB261" i="25" s="1"/>
  <c r="AD127" i="25"/>
  <c r="AE127" i="25" s="1"/>
  <c r="W127" i="25"/>
  <c r="Z127" i="25" s="1"/>
  <c r="AA127" i="25" s="1"/>
  <c r="AB127" i="25" s="1"/>
  <c r="W90" i="25"/>
  <c r="Z90" i="25" s="1"/>
  <c r="AA90" i="25" s="1"/>
  <c r="AB90" i="25" s="1"/>
  <c r="AD90" i="25"/>
  <c r="AE90" i="25" s="1"/>
  <c r="W314" i="25"/>
  <c r="Z314" i="25" s="1"/>
  <c r="AA314" i="25" s="1"/>
  <c r="AB314" i="25" s="1"/>
  <c r="AD314" i="25"/>
  <c r="AE314" i="25" s="1"/>
  <c r="V311" i="25"/>
  <c r="U311" i="25"/>
  <c r="U296" i="25"/>
  <c r="V296" i="25"/>
  <c r="W313" i="25"/>
  <c r="Z313" i="25" s="1"/>
  <c r="AA313" i="25" s="1"/>
  <c r="AD313" i="25"/>
  <c r="AE313" i="25" s="1"/>
  <c r="V313" i="25"/>
  <c r="U313" i="25"/>
  <c r="V280" i="25"/>
  <c r="U280" i="25"/>
  <c r="AD286" i="25"/>
  <c r="AE286" i="25" s="1"/>
  <c r="W286" i="25"/>
  <c r="Z286" i="25" s="1"/>
  <c r="AA286" i="25" s="1"/>
  <c r="AB286" i="25" s="1"/>
  <c r="AO286" i="25"/>
  <c r="AO200" i="25"/>
  <c r="U234" i="25"/>
  <c r="V234" i="25"/>
  <c r="AD298" i="25"/>
  <c r="AE298" i="25" s="1"/>
  <c r="W298" i="25"/>
  <c r="Z298" i="25" s="1"/>
  <c r="AA298" i="25" s="1"/>
  <c r="AB298" i="25" s="1"/>
  <c r="AO298" i="25"/>
  <c r="AD195" i="25"/>
  <c r="AE195" i="25" s="1"/>
  <c r="W195" i="25"/>
  <c r="Z195" i="25" s="1"/>
  <c r="AA195" i="25" s="1"/>
  <c r="AO179" i="25"/>
  <c r="AD163" i="25"/>
  <c r="AE163" i="25" s="1"/>
  <c r="W163" i="25"/>
  <c r="Z163" i="25" s="1"/>
  <c r="AA163" i="25" s="1"/>
  <c r="AO147" i="25"/>
  <c r="AD131" i="25"/>
  <c r="AE131" i="25" s="1"/>
  <c r="W131" i="25"/>
  <c r="Z131" i="25" s="1"/>
  <c r="AA131" i="25" s="1"/>
  <c r="U263" i="25"/>
  <c r="V263" i="25"/>
  <c r="AD255" i="25"/>
  <c r="AE255" i="25" s="1"/>
  <c r="W255" i="25"/>
  <c r="Z255" i="25" s="1"/>
  <c r="AA255" i="25" s="1"/>
  <c r="AB255" i="25" s="1"/>
  <c r="AO255" i="25"/>
  <c r="U229" i="25"/>
  <c r="V229" i="25"/>
  <c r="AD198" i="25"/>
  <c r="AE198" i="25" s="1"/>
  <c r="W198" i="25"/>
  <c r="Z198" i="25" s="1"/>
  <c r="AA198" i="25" s="1"/>
  <c r="AB198" i="25" s="1"/>
  <c r="U198" i="25"/>
  <c r="V198" i="25"/>
  <c r="AD166" i="25"/>
  <c r="AE166" i="25" s="1"/>
  <c r="W166" i="25"/>
  <c r="Z166" i="25" s="1"/>
  <c r="AA166" i="25" s="1"/>
  <c r="AB166" i="25" s="1"/>
  <c r="U166" i="25"/>
  <c r="V166" i="25"/>
  <c r="AD134" i="25"/>
  <c r="AE134" i="25" s="1"/>
  <c r="W134" i="25"/>
  <c r="Z134" i="25" s="1"/>
  <c r="AA134" i="25" s="1"/>
  <c r="AB134" i="25" s="1"/>
  <c r="U134" i="25"/>
  <c r="V134" i="25"/>
  <c r="U193" i="25"/>
  <c r="V193" i="25"/>
  <c r="AD185" i="25"/>
  <c r="AE185" i="25" s="1"/>
  <c r="W185" i="25"/>
  <c r="Z185" i="25" s="1"/>
  <c r="AA185" i="25" s="1"/>
  <c r="AB185" i="25" s="1"/>
  <c r="U177" i="25"/>
  <c r="V177" i="25"/>
  <c r="AD169" i="25"/>
  <c r="AE169" i="25" s="1"/>
  <c r="W169" i="25"/>
  <c r="Z169" i="25" s="1"/>
  <c r="AA169" i="25" s="1"/>
  <c r="AB169" i="25" s="1"/>
  <c r="U161" i="25"/>
  <c r="V161" i="25"/>
  <c r="AD153" i="25"/>
  <c r="AE153" i="25" s="1"/>
  <c r="W153" i="25"/>
  <c r="Z153" i="25" s="1"/>
  <c r="AA153" i="25" s="1"/>
  <c r="AB153" i="25" s="1"/>
  <c r="U145" i="25"/>
  <c r="V145" i="25"/>
  <c r="AD137" i="25"/>
  <c r="AE137" i="25" s="1"/>
  <c r="W137" i="25"/>
  <c r="Z137" i="25" s="1"/>
  <c r="AA137" i="25" s="1"/>
  <c r="AB137" i="25" s="1"/>
  <c r="U129" i="25"/>
  <c r="V129" i="25"/>
  <c r="AD119" i="25"/>
  <c r="AE119" i="25" s="1"/>
  <c r="W119" i="25"/>
  <c r="Z119" i="25" s="1"/>
  <c r="AA119" i="25" s="1"/>
  <c r="AO119" i="25"/>
  <c r="V104" i="25"/>
  <c r="U104" i="25"/>
  <c r="V100" i="25"/>
  <c r="U100" i="25"/>
  <c r="V96" i="25"/>
  <c r="U96" i="25"/>
  <c r="V92" i="25"/>
  <c r="U92" i="25"/>
  <c r="U227" i="25"/>
  <c r="V227" i="25"/>
  <c r="AD219" i="25"/>
  <c r="AE219" i="25" s="1"/>
  <c r="W219" i="25"/>
  <c r="Z219" i="25" s="1"/>
  <c r="AA219" i="25" s="1"/>
  <c r="AO219" i="25"/>
  <c r="AO118" i="25"/>
  <c r="AO67" i="25"/>
  <c r="AO51" i="25"/>
  <c r="AO31" i="25"/>
  <c r="V31" i="25"/>
  <c r="U31" i="25"/>
  <c r="AO15" i="25"/>
  <c r="V85" i="25"/>
  <c r="U85" i="25"/>
  <c r="V61" i="25"/>
  <c r="U61" i="25"/>
  <c r="V29" i="25"/>
  <c r="U29" i="25"/>
  <c r="V302" i="25"/>
  <c r="U302" i="25"/>
  <c r="AD292" i="25"/>
  <c r="AE292" i="25" s="1"/>
  <c r="W292" i="25"/>
  <c r="Z292" i="25" s="1"/>
  <c r="AA292" i="25" s="1"/>
  <c r="AB292" i="25" s="1"/>
  <c r="AO292" i="25"/>
  <c r="AO312" i="25"/>
  <c r="V271" i="25"/>
  <c r="U271" i="25"/>
  <c r="AD276" i="25"/>
  <c r="AE276" i="25" s="1"/>
  <c r="W276" i="25"/>
  <c r="Z276" i="25" s="1"/>
  <c r="AA276" i="25" s="1"/>
  <c r="AB276" i="25" s="1"/>
  <c r="AO276" i="25"/>
  <c r="U233" i="25"/>
  <c r="V233" i="25"/>
  <c r="AD299" i="25"/>
  <c r="AE299" i="25" s="1"/>
  <c r="W299" i="25"/>
  <c r="Z299" i="25" s="1"/>
  <c r="AA299" i="25" s="1"/>
  <c r="U210" i="25"/>
  <c r="V210" i="25"/>
  <c r="AD202" i="25"/>
  <c r="AE202" i="25" s="1"/>
  <c r="W202" i="25"/>
  <c r="Z202" i="25" s="1"/>
  <c r="AA202" i="25" s="1"/>
  <c r="AB202" i="25" s="1"/>
  <c r="V191" i="25"/>
  <c r="U191" i="25"/>
  <c r="AD175" i="25"/>
  <c r="AE175" i="25" s="1"/>
  <c r="W175" i="25"/>
  <c r="Z175" i="25" s="1"/>
  <c r="AA175" i="25" s="1"/>
  <c r="V159" i="25"/>
  <c r="U159" i="25"/>
  <c r="AD143" i="25"/>
  <c r="AE143" i="25" s="1"/>
  <c r="W143" i="25"/>
  <c r="Z143" i="25" s="1"/>
  <c r="AA143" i="25" s="1"/>
  <c r="AD260" i="25"/>
  <c r="AE260" i="25" s="1"/>
  <c r="W260" i="25"/>
  <c r="Z260" i="25" s="1"/>
  <c r="AA260" i="25" s="1"/>
  <c r="AO260" i="25"/>
  <c r="U236" i="25"/>
  <c r="V236" i="25"/>
  <c r="AD225" i="25"/>
  <c r="AE225" i="25" s="1"/>
  <c r="W225" i="25"/>
  <c r="Z225" i="25" s="1"/>
  <c r="AA225" i="25" s="1"/>
  <c r="AO225" i="25"/>
  <c r="AO194" i="25"/>
  <c r="AO162" i="25"/>
  <c r="AD130" i="25"/>
  <c r="AE130" i="25" s="1"/>
  <c r="W130" i="25"/>
  <c r="Z130" i="25" s="1"/>
  <c r="AA130" i="25" s="1"/>
  <c r="AO192" i="25"/>
  <c r="AO160" i="25"/>
  <c r="AD99" i="25"/>
  <c r="AE99" i="25" s="1"/>
  <c r="W99" i="25"/>
  <c r="Z99" i="25" s="1"/>
  <c r="AA99" i="25" s="1"/>
  <c r="AB99" i="25" s="1"/>
  <c r="AD91" i="25"/>
  <c r="AE91" i="25" s="1"/>
  <c r="W91" i="25"/>
  <c r="Z91" i="25" s="1"/>
  <c r="AA91" i="25" s="1"/>
  <c r="AB91" i="25" s="1"/>
  <c r="V57" i="25"/>
  <c r="U57" i="25"/>
  <c r="V64" i="25"/>
  <c r="U64" i="25"/>
  <c r="AO291" i="25"/>
  <c r="AD171" i="25"/>
  <c r="AE171" i="25" s="1"/>
  <c r="W171" i="25"/>
  <c r="Z171" i="25" s="1"/>
  <c r="AA171" i="25" s="1"/>
  <c r="AB171" i="25" s="1"/>
  <c r="W278" i="25"/>
  <c r="Z278" i="25" s="1"/>
  <c r="AA278" i="25" s="1"/>
  <c r="AB278" i="25" s="1"/>
  <c r="AD278" i="25"/>
  <c r="AE278" i="25" s="1"/>
  <c r="U181" i="25"/>
  <c r="V181" i="25"/>
  <c r="U149" i="25"/>
  <c r="V149" i="25"/>
  <c r="U117" i="25"/>
  <c r="V117" i="25"/>
  <c r="AD60" i="25"/>
  <c r="AE60" i="25" s="1"/>
  <c r="W60" i="25"/>
  <c r="Z60" i="25" s="1"/>
  <c r="AA60" i="25" s="1"/>
  <c r="AB60" i="25" s="1"/>
  <c r="W24" i="25"/>
  <c r="Z24" i="25" s="1"/>
  <c r="AA24" i="25" s="1"/>
  <c r="AB24" i="25" s="1"/>
  <c r="AD24" i="25"/>
  <c r="AE24" i="25" s="1"/>
  <c r="AO283" i="25"/>
  <c r="V188" i="25"/>
  <c r="U188" i="25"/>
  <c r="AD75" i="25"/>
  <c r="AE75" i="25" s="1"/>
  <c r="W75" i="25"/>
  <c r="Z75" i="25" s="1"/>
  <c r="AA75" i="25" s="1"/>
  <c r="AB75" i="25" s="1"/>
  <c r="AD303" i="25"/>
  <c r="AE303" i="25" s="1"/>
  <c r="W303" i="25"/>
  <c r="Z303" i="25" s="1"/>
  <c r="AA303" i="25" s="1"/>
  <c r="AO313" i="25"/>
  <c r="U286" i="25"/>
  <c r="V286" i="25"/>
  <c r="AO253" i="25"/>
  <c r="AD220" i="25"/>
  <c r="AE220" i="25" s="1"/>
  <c r="W220" i="25"/>
  <c r="Z220" i="25" s="1"/>
  <c r="AA220" i="25" s="1"/>
  <c r="AB220" i="25" s="1"/>
  <c r="V195" i="25"/>
  <c r="U195" i="25"/>
  <c r="V163" i="25"/>
  <c r="U163" i="25"/>
  <c r="V131" i="25"/>
  <c r="U131" i="25"/>
  <c r="AO270" i="25"/>
  <c r="U255" i="25"/>
  <c r="V255" i="25"/>
  <c r="AO137" i="25"/>
  <c r="AD118" i="25"/>
  <c r="AE118" i="25" s="1"/>
  <c r="W118" i="25"/>
  <c r="Z118" i="25" s="1"/>
  <c r="AA118" i="25" s="1"/>
  <c r="V15" i="25"/>
  <c r="U15" i="25"/>
  <c r="W82" i="25"/>
  <c r="Z82" i="25" s="1"/>
  <c r="AA82" i="25" s="1"/>
  <c r="AB82" i="25" s="1"/>
  <c r="AD82" i="25"/>
  <c r="AE82" i="25" s="1"/>
  <c r="AO66" i="25"/>
  <c r="W52" i="25"/>
  <c r="Z52" i="25" s="1"/>
  <c r="AA52" i="25" s="1"/>
  <c r="AB52" i="25" s="1"/>
  <c r="AD52" i="25"/>
  <c r="AE52" i="25" s="1"/>
  <c r="AD81" i="25"/>
  <c r="AE81" i="25" s="1"/>
  <c r="W81" i="25"/>
  <c r="Z81" i="25" s="1"/>
  <c r="AA81" i="25" s="1"/>
  <c r="AB81" i="25" s="1"/>
  <c r="AD41" i="25"/>
  <c r="AE41" i="25" s="1"/>
  <c r="W41" i="25"/>
  <c r="Z41" i="25" s="1"/>
  <c r="AA41" i="25" s="1"/>
  <c r="AB41" i="25" s="1"/>
  <c r="W310" i="25"/>
  <c r="Z310" i="25" s="1"/>
  <c r="AA310" i="25" s="1"/>
  <c r="AB310" i="25" s="1"/>
  <c r="AD310" i="25"/>
  <c r="AE310" i="25" s="1"/>
  <c r="AO302" i="25"/>
  <c r="AD312" i="25"/>
  <c r="AE312" i="25" s="1"/>
  <c r="W312" i="25"/>
  <c r="Z312" i="25" s="1"/>
  <c r="AA312" i="25" s="1"/>
  <c r="AB312" i="25" s="1"/>
  <c r="AD265" i="25"/>
  <c r="AE265" i="25" s="1"/>
  <c r="W265" i="25"/>
  <c r="Z265" i="25" s="1"/>
  <c r="AA265" i="25" s="1"/>
  <c r="AB265" i="25" s="1"/>
  <c r="AO299" i="25"/>
  <c r="AO262" i="25"/>
  <c r="AO282" i="25"/>
  <c r="AO202" i="25"/>
  <c r="AO175" i="25"/>
  <c r="AD252" i="25"/>
  <c r="AE252" i="25" s="1"/>
  <c r="W252" i="25"/>
  <c r="Z252" i="25" s="1"/>
  <c r="AA252" i="25" s="1"/>
  <c r="U194" i="25"/>
  <c r="V194" i="25"/>
  <c r="AO130" i="25"/>
  <c r="W176" i="25"/>
  <c r="Z176" i="25" s="1"/>
  <c r="AA176" i="25" s="1"/>
  <c r="AD176" i="25"/>
  <c r="AE176" i="25" s="1"/>
  <c r="V160" i="25"/>
  <c r="U160" i="25"/>
  <c r="V128" i="25"/>
  <c r="U128" i="25"/>
  <c r="V103" i="25"/>
  <c r="U103" i="25"/>
  <c r="AO63" i="25"/>
  <c r="V77" i="25"/>
  <c r="U77" i="25"/>
  <c r="AO288" i="25"/>
  <c r="U221" i="25"/>
  <c r="V221" i="25"/>
  <c r="AD165" i="25"/>
  <c r="AE165" i="25" s="1"/>
  <c r="W165" i="25"/>
  <c r="Z165" i="25" s="1"/>
  <c r="AA165" i="25" s="1"/>
  <c r="AB165" i="25" s="1"/>
  <c r="V94" i="25"/>
  <c r="U94" i="25"/>
  <c r="W9" i="25"/>
  <c r="Z9" i="25" s="1"/>
  <c r="AA9" i="25" s="1"/>
  <c r="AB9" i="25" s="1"/>
  <c r="AD9" i="25"/>
  <c r="AE9" i="25" s="1"/>
  <c r="V314" i="25"/>
  <c r="U314" i="25"/>
  <c r="V303" i="25"/>
  <c r="U303" i="25"/>
  <c r="W311" i="25"/>
  <c r="Z311" i="25" s="1"/>
  <c r="AA311" i="25" s="1"/>
  <c r="AD311" i="25"/>
  <c r="AE311" i="25" s="1"/>
  <c r="AO311" i="25"/>
  <c r="U289" i="25"/>
  <c r="V289" i="25"/>
  <c r="W275" i="25"/>
  <c r="Z275" i="25" s="1"/>
  <c r="AA275" i="25" s="1"/>
  <c r="AB275" i="25" s="1"/>
  <c r="AD275" i="25"/>
  <c r="AE275" i="25" s="1"/>
  <c r="U253" i="25"/>
  <c r="V253" i="25"/>
  <c r="AD237" i="25"/>
  <c r="AE237" i="25" s="1"/>
  <c r="W237" i="25"/>
  <c r="Z237" i="25" s="1"/>
  <c r="AA237" i="25" s="1"/>
  <c r="AO237" i="25"/>
  <c r="V200" i="25"/>
  <c r="U200" i="25"/>
  <c r="U266" i="25"/>
  <c r="V266" i="25"/>
  <c r="AD250" i="25"/>
  <c r="AE250" i="25" s="1"/>
  <c r="W250" i="25"/>
  <c r="Z250" i="25" s="1"/>
  <c r="AA250" i="25" s="1"/>
  <c r="AO250" i="25"/>
  <c r="U220" i="25"/>
  <c r="V220" i="25"/>
  <c r="W205" i="25"/>
  <c r="Z205" i="25" s="1"/>
  <c r="AA205" i="25" s="1"/>
  <c r="AB205" i="25" s="1"/>
  <c r="AD205" i="25"/>
  <c r="AE205" i="25" s="1"/>
  <c r="AO195" i="25"/>
  <c r="AD179" i="25"/>
  <c r="AE179" i="25" s="1"/>
  <c r="W179" i="25"/>
  <c r="Z179" i="25" s="1"/>
  <c r="AA179" i="25" s="1"/>
  <c r="AO163" i="25"/>
  <c r="AD147" i="25"/>
  <c r="AE147" i="25" s="1"/>
  <c r="W147" i="25"/>
  <c r="Z147" i="25" s="1"/>
  <c r="AA147" i="25" s="1"/>
  <c r="AO131" i="25"/>
  <c r="W270" i="25"/>
  <c r="Z270" i="25" s="1"/>
  <c r="AA270" i="25" s="1"/>
  <c r="AD270" i="25"/>
  <c r="AE270" i="25" s="1"/>
  <c r="V270" i="25"/>
  <c r="U270" i="25"/>
  <c r="U247" i="25"/>
  <c r="V247" i="25"/>
  <c r="AD239" i="25"/>
  <c r="AE239" i="25" s="1"/>
  <c r="W239" i="25"/>
  <c r="Z239" i="25" s="1"/>
  <c r="AA239" i="25" s="1"/>
  <c r="AO239" i="25"/>
  <c r="AD182" i="25"/>
  <c r="AE182" i="25" s="1"/>
  <c r="W182" i="25"/>
  <c r="Z182" i="25" s="1"/>
  <c r="AA182" i="25" s="1"/>
  <c r="AB182" i="25" s="1"/>
  <c r="U182" i="25"/>
  <c r="V182" i="25"/>
  <c r="AD150" i="25"/>
  <c r="AE150" i="25" s="1"/>
  <c r="W150" i="25"/>
  <c r="Z150" i="25" s="1"/>
  <c r="AA150" i="25" s="1"/>
  <c r="AB150" i="25" s="1"/>
  <c r="U150" i="25"/>
  <c r="V150" i="25"/>
  <c r="AD193" i="25"/>
  <c r="AE193" i="25" s="1"/>
  <c r="W193" i="25"/>
  <c r="Z193" i="25" s="1"/>
  <c r="AA193" i="25" s="1"/>
  <c r="U185" i="25"/>
  <c r="V185" i="25"/>
  <c r="AD177" i="25"/>
  <c r="AE177" i="25" s="1"/>
  <c r="W177" i="25"/>
  <c r="Z177" i="25" s="1"/>
  <c r="AA177" i="25" s="1"/>
  <c r="U169" i="25"/>
  <c r="V169" i="25"/>
  <c r="AD161" i="25"/>
  <c r="AE161" i="25" s="1"/>
  <c r="W161" i="25"/>
  <c r="Z161" i="25" s="1"/>
  <c r="AA161" i="25" s="1"/>
  <c r="U153" i="25"/>
  <c r="V153" i="25"/>
  <c r="AD145" i="25"/>
  <c r="AE145" i="25" s="1"/>
  <c r="W145" i="25"/>
  <c r="Z145" i="25" s="1"/>
  <c r="AA145" i="25" s="1"/>
  <c r="U137" i="25"/>
  <c r="V137" i="25"/>
  <c r="AD129" i="25"/>
  <c r="AE129" i="25" s="1"/>
  <c r="W129" i="25"/>
  <c r="Z129" i="25" s="1"/>
  <c r="AA129" i="25" s="1"/>
  <c r="AD104" i="25"/>
  <c r="AE104" i="25" s="1"/>
  <c r="W104" i="25"/>
  <c r="Z104" i="25" s="1"/>
  <c r="AA104" i="25" s="1"/>
  <c r="AB104" i="25" s="1"/>
  <c r="AD100" i="25"/>
  <c r="AE100" i="25" s="1"/>
  <c r="W100" i="25"/>
  <c r="Z100" i="25" s="1"/>
  <c r="AA100" i="25" s="1"/>
  <c r="AB100" i="25" s="1"/>
  <c r="AO100" i="25"/>
  <c r="AD96" i="25"/>
  <c r="AE96" i="25" s="1"/>
  <c r="W96" i="25"/>
  <c r="Z96" i="25" s="1"/>
  <c r="AA96" i="25" s="1"/>
  <c r="AB96" i="25" s="1"/>
  <c r="AD92" i="25"/>
  <c r="AE92" i="25" s="1"/>
  <c r="W92" i="25"/>
  <c r="Z92" i="25" s="1"/>
  <c r="AA92" i="25" s="1"/>
  <c r="AB92" i="25" s="1"/>
  <c r="AO92" i="25"/>
  <c r="AD273" i="25"/>
  <c r="AE273" i="25" s="1"/>
  <c r="W273" i="25"/>
  <c r="Z273" i="25" s="1"/>
  <c r="AA273" i="25" s="1"/>
  <c r="V67" i="25"/>
  <c r="U67" i="25"/>
  <c r="AO61" i="25"/>
  <c r="AO11" i="25"/>
  <c r="AO7" i="25"/>
  <c r="AO82" i="25"/>
  <c r="AO84" i="25"/>
  <c r="AO68" i="25"/>
  <c r="AO52" i="25"/>
  <c r="V32" i="25"/>
  <c r="U32" i="25"/>
  <c r="AO32" i="25"/>
  <c r="V16" i="25"/>
  <c r="U16" i="25"/>
  <c r="AO16" i="25"/>
  <c r="AO81" i="25"/>
  <c r="V81" i="25"/>
  <c r="U81" i="25"/>
  <c r="AO41" i="25"/>
  <c r="V41" i="25"/>
  <c r="U41" i="25"/>
  <c r="AO46" i="25"/>
  <c r="AO26" i="25"/>
  <c r="V310" i="25"/>
  <c r="U310" i="25"/>
  <c r="AD302" i="25"/>
  <c r="AE302" i="25" s="1"/>
  <c r="W302" i="25"/>
  <c r="Z302" i="25" s="1"/>
  <c r="AA302" i="25" s="1"/>
  <c r="V312" i="25"/>
  <c r="U312" i="25"/>
  <c r="AD285" i="25"/>
  <c r="AE285" i="25" s="1"/>
  <c r="W285" i="25"/>
  <c r="Z285" i="25" s="1"/>
  <c r="AA285" i="25" s="1"/>
  <c r="AO285" i="25"/>
  <c r="AO271" i="25"/>
  <c r="U265" i="25"/>
  <c r="V265" i="25"/>
  <c r="AD249" i="25"/>
  <c r="AE249" i="25" s="1"/>
  <c r="W249" i="25"/>
  <c r="Z249" i="25" s="1"/>
  <c r="AA249" i="25" s="1"/>
  <c r="AO249" i="25"/>
  <c r="U262" i="25"/>
  <c r="V262" i="25"/>
  <c r="AD246" i="25"/>
  <c r="AE246" i="25" s="1"/>
  <c r="W246" i="25"/>
  <c r="Z246" i="25" s="1"/>
  <c r="AA246" i="25" s="1"/>
  <c r="AO246" i="25"/>
  <c r="AO207" i="25"/>
  <c r="U282" i="25"/>
  <c r="V282" i="25"/>
  <c r="AD210" i="25"/>
  <c r="AE210" i="25" s="1"/>
  <c r="W210" i="25"/>
  <c r="Z210" i="25" s="1"/>
  <c r="AA210" i="25" s="1"/>
  <c r="U202" i="25"/>
  <c r="V202" i="25"/>
  <c r="AD191" i="25"/>
  <c r="AE191" i="25" s="1"/>
  <c r="W191" i="25"/>
  <c r="Z191" i="25" s="1"/>
  <c r="AA191" i="25" s="1"/>
  <c r="V175" i="25"/>
  <c r="U175" i="25"/>
  <c r="AD159" i="25"/>
  <c r="AE159" i="25" s="1"/>
  <c r="W159" i="25"/>
  <c r="Z159" i="25" s="1"/>
  <c r="AA159" i="25" s="1"/>
  <c r="V143" i="25"/>
  <c r="U143" i="25"/>
  <c r="AD287" i="25"/>
  <c r="AE287" i="25" s="1"/>
  <c r="W287" i="25"/>
  <c r="Z287" i="25" s="1"/>
  <c r="AA287" i="25" s="1"/>
  <c r="AO287" i="25"/>
  <c r="U268" i="25"/>
  <c r="V268" i="25"/>
  <c r="U252" i="25"/>
  <c r="V252" i="25"/>
  <c r="AD244" i="25"/>
  <c r="AE244" i="25" s="1"/>
  <c r="W244" i="25"/>
  <c r="Z244" i="25" s="1"/>
  <c r="AA244" i="25" s="1"/>
  <c r="AO244" i="25"/>
  <c r="AO178" i="25"/>
  <c r="U146" i="25"/>
  <c r="V146" i="25"/>
  <c r="U130" i="25"/>
  <c r="V130" i="25"/>
  <c r="AO176" i="25"/>
  <c r="AD103" i="25"/>
  <c r="AE103" i="25" s="1"/>
  <c r="W103" i="25"/>
  <c r="Z103" i="25" s="1"/>
  <c r="AA103" i="25" s="1"/>
  <c r="AB103" i="25" s="1"/>
  <c r="V91" i="25"/>
  <c r="U91" i="25"/>
  <c r="AD291" i="25"/>
  <c r="AE291" i="25" s="1"/>
  <c r="W291" i="25"/>
  <c r="Z291" i="25" s="1"/>
  <c r="AA291" i="25" s="1"/>
  <c r="AB291" i="25" s="1"/>
  <c r="V278" i="25"/>
  <c r="U278" i="25"/>
  <c r="AD174" i="25"/>
  <c r="AE174" i="25" s="1"/>
  <c r="W174" i="25"/>
  <c r="Z174" i="25" s="1"/>
  <c r="AA174" i="25" s="1"/>
  <c r="V304" i="25"/>
  <c r="U304" i="25"/>
  <c r="AO217" i="25"/>
  <c r="AD55" i="25"/>
  <c r="AE55" i="25" s="1"/>
  <c r="W55" i="25"/>
  <c r="Z55" i="25" s="1"/>
  <c r="AA55" i="25" s="1"/>
  <c r="AB55" i="25" s="1"/>
  <c r="AO314" i="25"/>
  <c r="AO303" i="25"/>
  <c r="AO289" i="25"/>
  <c r="AO275" i="25"/>
  <c r="AD266" i="25"/>
  <c r="AE266" i="25" s="1"/>
  <c r="W266" i="25"/>
  <c r="Z266" i="25" s="1"/>
  <c r="AA266" i="25" s="1"/>
  <c r="U298" i="25"/>
  <c r="V298" i="25"/>
  <c r="AO220" i="25"/>
  <c r="AO247" i="25"/>
  <c r="AO150" i="25"/>
  <c r="AO169" i="25"/>
  <c r="V119" i="25"/>
  <c r="U119" i="25"/>
  <c r="V118" i="25"/>
  <c r="U118" i="25"/>
  <c r="V116" i="25"/>
  <c r="U116" i="25"/>
  <c r="AD84" i="25"/>
  <c r="AE84" i="25" s="1"/>
  <c r="W84" i="25"/>
  <c r="Z84" i="25" s="1"/>
  <c r="AA84" i="25" s="1"/>
  <c r="AB84" i="25" s="1"/>
  <c r="W32" i="25"/>
  <c r="Z32" i="25" s="1"/>
  <c r="AA32" i="25" s="1"/>
  <c r="AB32" i="25" s="1"/>
  <c r="AD32" i="25"/>
  <c r="AE32" i="25" s="1"/>
  <c r="W46" i="25"/>
  <c r="Z46" i="25" s="1"/>
  <c r="AA46" i="25" s="1"/>
  <c r="AB46" i="25" s="1"/>
  <c r="AD46" i="25"/>
  <c r="AE46" i="25" s="1"/>
  <c r="W26" i="25"/>
  <c r="Z26" i="25" s="1"/>
  <c r="AA26" i="25" s="1"/>
  <c r="AB26" i="25" s="1"/>
  <c r="AD26" i="25"/>
  <c r="AE26" i="25" s="1"/>
  <c r="V307" i="25"/>
  <c r="U307" i="25"/>
  <c r="V276" i="25"/>
  <c r="U276" i="25"/>
  <c r="AD262" i="25"/>
  <c r="AE262" i="25" s="1"/>
  <c r="W262" i="25"/>
  <c r="Z262" i="25" s="1"/>
  <c r="AA262" i="25" s="1"/>
  <c r="U225" i="25"/>
  <c r="V225" i="25"/>
  <c r="U162" i="25"/>
  <c r="V162" i="25"/>
  <c r="V184" i="25"/>
  <c r="U184" i="25"/>
  <c r="V152" i="25"/>
  <c r="U152" i="25"/>
  <c r="V136" i="25"/>
  <c r="U136" i="25"/>
  <c r="AO115" i="25"/>
  <c r="V272" i="25"/>
  <c r="U272" i="25"/>
  <c r="AO139" i="25"/>
  <c r="AD189" i="25"/>
  <c r="AE189" i="25" s="1"/>
  <c r="W189" i="25"/>
  <c r="Z189" i="25" s="1"/>
  <c r="AA189" i="25" s="1"/>
  <c r="AB189" i="25" s="1"/>
  <c r="V102" i="25"/>
  <c r="U102" i="25"/>
  <c r="AD49" i="25"/>
  <c r="AE49" i="25" s="1"/>
  <c r="W49" i="25"/>
  <c r="Z49" i="25" s="1"/>
  <c r="AA49" i="25" s="1"/>
  <c r="AB49" i="25" s="1"/>
  <c r="W54" i="25"/>
  <c r="Z54" i="25" s="1"/>
  <c r="AA54" i="25" s="1"/>
  <c r="AB54" i="25" s="1"/>
  <c r="AD54" i="25"/>
  <c r="AE54" i="25" s="1"/>
  <c r="AD296" i="25"/>
  <c r="AE296" i="25" s="1"/>
  <c r="W296" i="25"/>
  <c r="Z296" i="25" s="1"/>
  <c r="AA296" i="25" s="1"/>
  <c r="AO296" i="25"/>
  <c r="V275" i="25"/>
  <c r="U275" i="25"/>
  <c r="AD280" i="25"/>
  <c r="AE280" i="25" s="1"/>
  <c r="W280" i="25"/>
  <c r="Z280" i="25" s="1"/>
  <c r="AA280" i="25" s="1"/>
  <c r="AO280" i="25"/>
  <c r="U237" i="25"/>
  <c r="V237" i="25"/>
  <c r="AD200" i="25"/>
  <c r="AE200" i="25" s="1"/>
  <c r="W200" i="25"/>
  <c r="Z200" i="25" s="1"/>
  <c r="AA200" i="25" s="1"/>
  <c r="U250" i="25"/>
  <c r="V250" i="25"/>
  <c r="AD234" i="25"/>
  <c r="AE234" i="25" s="1"/>
  <c r="W234" i="25"/>
  <c r="Z234" i="25" s="1"/>
  <c r="AA234" i="25" s="1"/>
  <c r="AO234" i="25"/>
  <c r="AO205" i="25"/>
  <c r="V179" i="25"/>
  <c r="U179" i="25"/>
  <c r="V147" i="25"/>
  <c r="U147" i="25"/>
  <c r="AD263" i="25"/>
  <c r="AE263" i="25" s="1"/>
  <c r="W263" i="25"/>
  <c r="Z263" i="25" s="1"/>
  <c r="AA263" i="25" s="1"/>
  <c r="AO263" i="25"/>
  <c r="U239" i="25"/>
  <c r="V239" i="25"/>
  <c r="AD229" i="25"/>
  <c r="AE229" i="25" s="1"/>
  <c r="W229" i="25"/>
  <c r="Z229" i="25" s="1"/>
  <c r="AA229" i="25" s="1"/>
  <c r="AO229" i="25"/>
  <c r="AO198" i="25"/>
  <c r="AO166" i="25"/>
  <c r="AO134" i="25"/>
  <c r="AO193" i="25"/>
  <c r="AO177" i="25"/>
  <c r="AO161" i="25"/>
  <c r="AO145" i="25"/>
  <c r="AO129" i="25"/>
  <c r="AO104" i="25"/>
  <c r="AO96" i="25"/>
  <c r="V273" i="25"/>
  <c r="U273" i="25"/>
  <c r="AD227" i="25"/>
  <c r="AE227" i="25" s="1"/>
  <c r="W227" i="25"/>
  <c r="Z227" i="25" s="1"/>
  <c r="AA227" i="25" s="1"/>
  <c r="AO227" i="25"/>
  <c r="W83" i="25"/>
  <c r="Z83" i="25" s="1"/>
  <c r="AA83" i="25" s="1"/>
  <c r="AB83" i="25" s="1"/>
  <c r="AD83" i="25"/>
  <c r="AE83" i="25" s="1"/>
  <c r="V83" i="25"/>
  <c r="U83" i="25"/>
  <c r="AD67" i="25"/>
  <c r="AE67" i="25" s="1"/>
  <c r="W67" i="25"/>
  <c r="Z67" i="25" s="1"/>
  <c r="AA67" i="25" s="1"/>
  <c r="AB67" i="25" s="1"/>
  <c r="W51" i="25"/>
  <c r="Z51" i="25" s="1"/>
  <c r="AA51" i="25" s="1"/>
  <c r="AB51" i="25" s="1"/>
  <c r="AD51" i="25"/>
  <c r="AE51" i="25" s="1"/>
  <c r="V51" i="25"/>
  <c r="U51" i="25"/>
  <c r="W31" i="25"/>
  <c r="Z31" i="25" s="1"/>
  <c r="AA31" i="25" s="1"/>
  <c r="AB31" i="25" s="1"/>
  <c r="AD31" i="25"/>
  <c r="AE31" i="25" s="1"/>
  <c r="AD15" i="25"/>
  <c r="AE15" i="25" s="1"/>
  <c r="W15" i="25"/>
  <c r="Z15" i="25" s="1"/>
  <c r="AA15" i="25" s="1"/>
  <c r="AB15" i="25" s="1"/>
  <c r="AD85" i="25"/>
  <c r="AE85" i="25" s="1"/>
  <c r="W85" i="25"/>
  <c r="Z85" i="25" s="1"/>
  <c r="AA85" i="25" s="1"/>
  <c r="AB85" i="25" s="1"/>
  <c r="AD61" i="25"/>
  <c r="AE61" i="25" s="1"/>
  <c r="W61" i="25"/>
  <c r="Z61" i="25" s="1"/>
  <c r="AA61" i="25" s="1"/>
  <c r="AB61" i="25" s="1"/>
  <c r="AD29" i="25"/>
  <c r="AE29" i="25" s="1"/>
  <c r="W29" i="25"/>
  <c r="Z29" i="25" s="1"/>
  <c r="AA29" i="25" s="1"/>
  <c r="AB29" i="25" s="1"/>
  <c r="W11" i="25"/>
  <c r="Z11" i="25" s="1"/>
  <c r="AA11" i="25" s="1"/>
  <c r="AB11" i="25" s="1"/>
  <c r="AD11" i="25"/>
  <c r="AE11" i="25" s="1"/>
  <c r="U11" i="25"/>
  <c r="V11" i="25"/>
  <c r="W7" i="25"/>
  <c r="Z7" i="25" s="1"/>
  <c r="AA7" i="25" s="1"/>
  <c r="AB7" i="25" s="1"/>
  <c r="AD7" i="25"/>
  <c r="AE7" i="25" s="1"/>
  <c r="U7" i="25"/>
  <c r="V7" i="25"/>
  <c r="AD116" i="25"/>
  <c r="AE116" i="25" s="1"/>
  <c r="W116" i="25"/>
  <c r="Z116" i="25" s="1"/>
  <c r="AA116" i="25" s="1"/>
  <c r="AO116" i="25"/>
  <c r="V82" i="25"/>
  <c r="U82" i="25"/>
  <c r="V66" i="25"/>
  <c r="U66" i="25"/>
  <c r="V84" i="25"/>
  <c r="U84" i="25"/>
  <c r="V68" i="25"/>
  <c r="U68" i="25"/>
  <c r="V52" i="25"/>
  <c r="U52" i="25"/>
  <c r="V46" i="25"/>
  <c r="U46" i="25"/>
  <c r="V36" i="25"/>
  <c r="U36" i="25"/>
  <c r="V26" i="25"/>
  <c r="U26" i="25"/>
  <c r="AO310" i="25"/>
  <c r="AD307" i="25"/>
  <c r="AE307" i="25" s="1"/>
  <c r="W307" i="25"/>
  <c r="Z307" i="25" s="1"/>
  <c r="AA307" i="25" s="1"/>
  <c r="AO307" i="25"/>
  <c r="U285" i="25"/>
  <c r="V285" i="25"/>
  <c r="W271" i="25"/>
  <c r="Z271" i="25" s="1"/>
  <c r="AA271" i="25" s="1"/>
  <c r="AB271" i="25" s="1"/>
  <c r="AD271" i="25"/>
  <c r="AE271" i="25" s="1"/>
  <c r="U249" i="25"/>
  <c r="V249" i="25"/>
  <c r="AD233" i="25"/>
  <c r="AE233" i="25" s="1"/>
  <c r="W233" i="25"/>
  <c r="Z233" i="25" s="1"/>
  <c r="AA233" i="25" s="1"/>
  <c r="AO233" i="25"/>
  <c r="U246" i="25"/>
  <c r="V246" i="25"/>
  <c r="AD207" i="25"/>
  <c r="AE207" i="25" s="1"/>
  <c r="W207" i="25"/>
  <c r="Z207" i="25" s="1"/>
  <c r="AA207" i="25" s="1"/>
  <c r="AB207" i="25" s="1"/>
  <c r="U207" i="25"/>
  <c r="V207" i="25"/>
  <c r="AO210" i="25"/>
  <c r="AO191" i="25"/>
  <c r="AO159" i="25"/>
  <c r="U287" i="25"/>
  <c r="V287" i="25"/>
  <c r="AD268" i="25"/>
  <c r="AE268" i="25" s="1"/>
  <c r="W268" i="25"/>
  <c r="Z268" i="25" s="1"/>
  <c r="AA268" i="25" s="1"/>
  <c r="U244" i="25"/>
  <c r="V244" i="25"/>
  <c r="AD236" i="25"/>
  <c r="AE236" i="25" s="1"/>
  <c r="W236" i="25"/>
  <c r="Z236" i="25" s="1"/>
  <c r="AA236" i="25" s="1"/>
  <c r="AO236" i="25"/>
  <c r="AD178" i="25"/>
  <c r="AE178" i="25" s="1"/>
  <c r="W178" i="25"/>
  <c r="Z178" i="25" s="1"/>
  <c r="AA178" i="25" s="1"/>
  <c r="AB178" i="25" s="1"/>
  <c r="U178" i="25"/>
  <c r="V178" i="25"/>
  <c r="AD146" i="25"/>
  <c r="AE146" i="25" s="1"/>
  <c r="W146" i="25"/>
  <c r="Z146" i="25" s="1"/>
  <c r="AA146" i="25" s="1"/>
  <c r="W192" i="25"/>
  <c r="Z192" i="25" s="1"/>
  <c r="AA192" i="25" s="1"/>
  <c r="AD192" i="25"/>
  <c r="AE192" i="25" s="1"/>
  <c r="W184" i="25"/>
  <c r="Z184" i="25" s="1"/>
  <c r="AA184" i="25" s="1"/>
  <c r="AB184" i="25" s="1"/>
  <c r="AD184" i="25"/>
  <c r="AE184" i="25" s="1"/>
  <c r="V176" i="25"/>
  <c r="U176" i="25"/>
  <c r="V168" i="25"/>
  <c r="U168" i="25"/>
  <c r="W160" i="25"/>
  <c r="Z160" i="25" s="1"/>
  <c r="AA160" i="25" s="1"/>
  <c r="AD160" i="25"/>
  <c r="AE160" i="25" s="1"/>
  <c r="W152" i="25"/>
  <c r="Z152" i="25" s="1"/>
  <c r="AA152" i="25" s="1"/>
  <c r="AD152" i="25"/>
  <c r="AE152" i="25" s="1"/>
  <c r="W144" i="25"/>
  <c r="Z144" i="25" s="1"/>
  <c r="AA144" i="25" s="1"/>
  <c r="AD144" i="25"/>
  <c r="AE144" i="25" s="1"/>
  <c r="W136" i="25"/>
  <c r="Z136" i="25" s="1"/>
  <c r="AA136" i="25" s="1"/>
  <c r="AD136" i="25"/>
  <c r="AE136" i="25" s="1"/>
  <c r="W128" i="25"/>
  <c r="Z128" i="25" s="1"/>
  <c r="AA128" i="25" s="1"/>
  <c r="AD128" i="25"/>
  <c r="AE128" i="25" s="1"/>
  <c r="AD115" i="25"/>
  <c r="AE115" i="25" s="1"/>
  <c r="W115" i="25"/>
  <c r="Z115" i="25" s="1"/>
  <c r="AA115" i="25" s="1"/>
  <c r="AB115" i="25" s="1"/>
  <c r="V99" i="25"/>
  <c r="U99" i="25"/>
  <c r="V95" i="25"/>
  <c r="U95" i="25"/>
  <c r="AD269" i="25"/>
  <c r="AE269" i="25" s="1"/>
  <c r="W269" i="25"/>
  <c r="Z269" i="25" s="1"/>
  <c r="AA269" i="25" s="1"/>
  <c r="AB269" i="25" s="1"/>
  <c r="V25" i="25"/>
  <c r="U25" i="25"/>
  <c r="AD288" i="25"/>
  <c r="AE288" i="25" s="1"/>
  <c r="W288" i="25"/>
  <c r="Z288" i="25" s="1"/>
  <c r="AA288" i="25" s="1"/>
  <c r="AB288" i="25" s="1"/>
  <c r="AO261" i="25"/>
  <c r="U174" i="25"/>
  <c r="V174" i="25"/>
  <c r="W38" i="25"/>
  <c r="Z38" i="25" s="1"/>
  <c r="AA38" i="25" s="1"/>
  <c r="AB38" i="25" s="1"/>
  <c r="AD38" i="25"/>
  <c r="AE38" i="25" s="1"/>
  <c r="V18" i="25"/>
  <c r="U18" i="25"/>
  <c r="AD224" i="25"/>
  <c r="AE224" i="25" s="1"/>
  <c r="W224" i="25"/>
  <c r="Z224" i="25" s="1"/>
  <c r="AA224" i="25" s="1"/>
  <c r="AB224" i="25" s="1"/>
  <c r="V199" i="25"/>
  <c r="U199" i="25"/>
  <c r="V151" i="25"/>
  <c r="U151" i="25"/>
  <c r="AD73" i="25"/>
  <c r="AE73" i="25" s="1"/>
  <c r="W73" i="25"/>
  <c r="Z73" i="25" s="1"/>
  <c r="AA73" i="25" s="1"/>
  <c r="AB73" i="25" s="1"/>
  <c r="AO146" i="25"/>
  <c r="AO184" i="25"/>
  <c r="AO168" i="25"/>
  <c r="AO152" i="25"/>
  <c r="AO136" i="25"/>
  <c r="V115" i="25"/>
  <c r="U115" i="25"/>
  <c r="AO103" i="25"/>
  <c r="AO99" i="25"/>
  <c r="AO95" i="25"/>
  <c r="AO91" i="25"/>
  <c r="AO269" i="25"/>
  <c r="U218" i="25"/>
  <c r="V218" i="25"/>
  <c r="AD114" i="25"/>
  <c r="AE114" i="25" s="1"/>
  <c r="W114" i="25"/>
  <c r="Z114" i="25" s="1"/>
  <c r="AA114" i="25" s="1"/>
  <c r="AB114" i="25" s="1"/>
  <c r="V114" i="25"/>
  <c r="U114" i="25"/>
  <c r="U125" i="25"/>
  <c r="V125" i="25"/>
  <c r="AD77" i="25"/>
  <c r="AE77" i="25" s="1"/>
  <c r="W77" i="25"/>
  <c r="Z77" i="25" s="1"/>
  <c r="AA77" i="25" s="1"/>
  <c r="AB77" i="25" s="1"/>
  <c r="AD57" i="25"/>
  <c r="AE57" i="25" s="1"/>
  <c r="W57" i="25"/>
  <c r="Z57" i="25" s="1"/>
  <c r="AA57" i="25" s="1"/>
  <c r="AB57" i="25" s="1"/>
  <c r="AD25" i="25"/>
  <c r="AE25" i="25" s="1"/>
  <c r="W25" i="25"/>
  <c r="Z25" i="25" s="1"/>
  <c r="AA25" i="25" s="1"/>
  <c r="AB25" i="25" s="1"/>
  <c r="W10" i="25"/>
  <c r="Z10" i="25" s="1"/>
  <c r="AA10" i="25" s="1"/>
  <c r="AB10" i="25" s="1"/>
  <c r="AD10" i="25"/>
  <c r="AE10" i="25" s="1"/>
  <c r="U10" i="25"/>
  <c r="V10" i="25"/>
  <c r="W6" i="25"/>
  <c r="Z6" i="25" s="1"/>
  <c r="AA6" i="25" s="1"/>
  <c r="AB6" i="25" s="1"/>
  <c r="AD6" i="25"/>
  <c r="AE6" i="25" s="1"/>
  <c r="AD112" i="25"/>
  <c r="AE112" i="25" s="1"/>
  <c r="W112" i="25"/>
  <c r="Z112" i="25" s="1"/>
  <c r="AA112" i="25" s="1"/>
  <c r="AO112" i="25"/>
  <c r="V78" i="25"/>
  <c r="U78" i="25"/>
  <c r="V80" i="25"/>
  <c r="U80" i="25"/>
  <c r="V42" i="25"/>
  <c r="U42" i="25"/>
  <c r="V35" i="25"/>
  <c r="U35" i="25"/>
  <c r="V22" i="25"/>
  <c r="U22" i="25"/>
  <c r="V306" i="25"/>
  <c r="U306" i="25"/>
  <c r="V301" i="25"/>
  <c r="U301" i="25"/>
  <c r="AD305" i="25"/>
  <c r="AE305" i="25" s="1"/>
  <c r="W305" i="25"/>
  <c r="Z305" i="25" s="1"/>
  <c r="AA305" i="25" s="1"/>
  <c r="U281" i="25"/>
  <c r="V281" i="25"/>
  <c r="AD272" i="25"/>
  <c r="AE272" i="25" s="1"/>
  <c r="W272" i="25"/>
  <c r="Z272" i="25" s="1"/>
  <c r="AA272" i="25" s="1"/>
  <c r="AB272" i="25" s="1"/>
  <c r="AO272" i="25"/>
  <c r="AO208" i="25"/>
  <c r="U242" i="25"/>
  <c r="V242" i="25"/>
  <c r="AD203" i="25"/>
  <c r="AE203" i="25" s="1"/>
  <c r="W203" i="25"/>
  <c r="Z203" i="25" s="1"/>
  <c r="AA203" i="25" s="1"/>
  <c r="AB203" i="25" s="1"/>
  <c r="U203" i="25"/>
  <c r="V203" i="25"/>
  <c r="AO209" i="25"/>
  <c r="V139" i="25"/>
  <c r="U139" i="25"/>
  <c r="AO278" i="25"/>
  <c r="U243" i="25"/>
  <c r="V243" i="25"/>
  <c r="AD221" i="25"/>
  <c r="AE221" i="25" s="1"/>
  <c r="W221" i="25"/>
  <c r="Z221" i="25" s="1"/>
  <c r="AA221" i="25" s="1"/>
  <c r="AO221" i="25"/>
  <c r="AO174" i="25"/>
  <c r="AO181" i="25"/>
  <c r="AO149" i="25"/>
  <c r="U231" i="25"/>
  <c r="V231" i="25"/>
  <c r="AD126" i="25"/>
  <c r="AE126" i="25" s="1"/>
  <c r="W126" i="25"/>
  <c r="Z126" i="25" s="1"/>
  <c r="AA126" i="25" s="1"/>
  <c r="AB126" i="25" s="1"/>
  <c r="V126" i="25"/>
  <c r="U126" i="25"/>
  <c r="AO59" i="25"/>
  <c r="AO117" i="25"/>
  <c r="U9" i="25"/>
  <c r="V9" i="25"/>
  <c r="V54" i="25"/>
  <c r="U54" i="25"/>
  <c r="AO53" i="25"/>
  <c r="V315" i="25"/>
  <c r="U315" i="25"/>
  <c r="V300" i="25"/>
  <c r="U300" i="25"/>
  <c r="AD284" i="25"/>
  <c r="AE284" i="25" s="1"/>
  <c r="W284" i="25"/>
  <c r="Z284" i="25" s="1"/>
  <c r="AA284" i="25" s="1"/>
  <c r="AB284" i="25" s="1"/>
  <c r="U284" i="25"/>
  <c r="V284" i="25"/>
  <c r="AD241" i="25"/>
  <c r="AE241" i="25" s="1"/>
  <c r="W241" i="25"/>
  <c r="Z241" i="25" s="1"/>
  <c r="AA241" i="25" s="1"/>
  <c r="AB241" i="25" s="1"/>
  <c r="AD308" i="25"/>
  <c r="AE308" i="25" s="1"/>
  <c r="W308" i="25"/>
  <c r="Z308" i="25" s="1"/>
  <c r="AA308" i="25" s="1"/>
  <c r="AB308" i="25" s="1"/>
  <c r="U224" i="25"/>
  <c r="V224" i="25"/>
  <c r="AD183" i="25"/>
  <c r="AE183" i="25" s="1"/>
  <c r="W183" i="25"/>
  <c r="Z183" i="25" s="1"/>
  <c r="AA183" i="25" s="1"/>
  <c r="AB183" i="25" s="1"/>
  <c r="AD256" i="25"/>
  <c r="AE256" i="25" s="1"/>
  <c r="W256" i="25"/>
  <c r="Z256" i="25" s="1"/>
  <c r="AA256" i="25" s="1"/>
  <c r="AB256" i="25" s="1"/>
  <c r="AO240" i="25"/>
  <c r="U222" i="25"/>
  <c r="V222" i="25"/>
  <c r="AD89" i="25"/>
  <c r="AE89" i="25" s="1"/>
  <c r="W89" i="25"/>
  <c r="Z89" i="25" s="1"/>
  <c r="AA89" i="25" s="1"/>
  <c r="AB89" i="25" s="1"/>
  <c r="AO37" i="25"/>
  <c r="W14" i="25"/>
  <c r="Z14" i="25" s="1"/>
  <c r="AA14" i="25" s="1"/>
  <c r="AB14" i="25" s="1"/>
  <c r="AD14" i="25"/>
  <c r="AE14" i="25" s="1"/>
  <c r="U141" i="25"/>
  <c r="V141" i="25"/>
  <c r="AD98" i="25"/>
  <c r="AE98" i="25" s="1"/>
  <c r="W98" i="25"/>
  <c r="Z98" i="25" s="1"/>
  <c r="AA98" i="25" s="1"/>
  <c r="AB98" i="25" s="1"/>
  <c r="AO124" i="25"/>
  <c r="AO144" i="25"/>
  <c r="AO128" i="25"/>
  <c r="V269" i="25"/>
  <c r="U269" i="25"/>
  <c r="AD226" i="25"/>
  <c r="AE226" i="25" s="1"/>
  <c r="W226" i="25"/>
  <c r="Z226" i="25" s="1"/>
  <c r="AA226" i="25" s="1"/>
  <c r="AO226" i="25"/>
  <c r="AD79" i="25"/>
  <c r="AE79" i="25" s="1"/>
  <c r="W79" i="25"/>
  <c r="Z79" i="25" s="1"/>
  <c r="AA79" i="25" s="1"/>
  <c r="AB79" i="25" s="1"/>
  <c r="AO79" i="25"/>
  <c r="W63" i="25"/>
  <c r="Z63" i="25" s="1"/>
  <c r="AA63" i="25" s="1"/>
  <c r="AB63" i="25" s="1"/>
  <c r="AD63" i="25"/>
  <c r="AE63" i="25" s="1"/>
  <c r="V63" i="25"/>
  <c r="U63" i="25"/>
  <c r="W47" i="25"/>
  <c r="Z47" i="25" s="1"/>
  <c r="AA47" i="25" s="1"/>
  <c r="AB47" i="25" s="1"/>
  <c r="AD47" i="25"/>
  <c r="AE47" i="25" s="1"/>
  <c r="V47" i="25"/>
  <c r="U47" i="25"/>
  <c r="W27" i="25"/>
  <c r="Z27" i="25" s="1"/>
  <c r="AA27" i="25" s="1"/>
  <c r="AB27" i="25" s="1"/>
  <c r="AD27" i="25"/>
  <c r="AE27" i="25" s="1"/>
  <c r="V27" i="25"/>
  <c r="U27" i="25"/>
  <c r="AD125" i="25"/>
  <c r="AE125" i="25" s="1"/>
  <c r="W125" i="25"/>
  <c r="Z125" i="25" s="1"/>
  <c r="AA125" i="25" s="1"/>
  <c r="AO77" i="25"/>
  <c r="AO57" i="25"/>
  <c r="AO25" i="25"/>
  <c r="AO6" i="25"/>
  <c r="V112" i="25"/>
  <c r="U112" i="25"/>
  <c r="W78" i="25"/>
  <c r="Z78" i="25" s="1"/>
  <c r="AA78" i="25" s="1"/>
  <c r="AB78" i="25" s="1"/>
  <c r="AD78" i="25"/>
  <c r="AE78" i="25" s="1"/>
  <c r="W62" i="25"/>
  <c r="Z62" i="25" s="1"/>
  <c r="AA62" i="25" s="1"/>
  <c r="AB62" i="25" s="1"/>
  <c r="AD62" i="25"/>
  <c r="AE62" i="25" s="1"/>
  <c r="W80" i="25"/>
  <c r="Z80" i="25" s="1"/>
  <c r="AA80" i="25" s="1"/>
  <c r="AB80" i="25" s="1"/>
  <c r="AD80" i="25"/>
  <c r="AE80" i="25" s="1"/>
  <c r="W64" i="25"/>
  <c r="Z64" i="25" s="1"/>
  <c r="AA64" i="25" s="1"/>
  <c r="AB64" i="25" s="1"/>
  <c r="AD64" i="25"/>
  <c r="AE64" i="25" s="1"/>
  <c r="W48" i="25"/>
  <c r="Z48" i="25" s="1"/>
  <c r="AA48" i="25" s="1"/>
  <c r="AB48" i="25" s="1"/>
  <c r="AD48" i="25"/>
  <c r="AE48" i="25" s="1"/>
  <c r="V48" i="25"/>
  <c r="U48" i="25"/>
  <c r="AD28" i="25"/>
  <c r="AE28" i="25" s="1"/>
  <c r="W28" i="25"/>
  <c r="Z28" i="25" s="1"/>
  <c r="AA28" i="25" s="1"/>
  <c r="AB28" i="25" s="1"/>
  <c r="W12" i="25"/>
  <c r="Z12" i="25" s="1"/>
  <c r="AA12" i="25" s="1"/>
  <c r="AB12" i="25" s="1"/>
  <c r="AD12" i="25"/>
  <c r="AE12" i="25" s="1"/>
  <c r="AD69" i="25"/>
  <c r="AE69" i="25" s="1"/>
  <c r="W69" i="25"/>
  <c r="Z69" i="25" s="1"/>
  <c r="AA69" i="25" s="1"/>
  <c r="AB69" i="25" s="1"/>
  <c r="AD21" i="25"/>
  <c r="AE21" i="25" s="1"/>
  <c r="W21" i="25"/>
  <c r="Z21" i="25" s="1"/>
  <c r="AA21" i="25" s="1"/>
  <c r="AB21" i="25" s="1"/>
  <c r="W42" i="25"/>
  <c r="Z42" i="25" s="1"/>
  <c r="AA42" i="25" s="1"/>
  <c r="AB42" i="25" s="1"/>
  <c r="AD42" i="25"/>
  <c r="AE42" i="25" s="1"/>
  <c r="W35" i="25"/>
  <c r="Z35" i="25" s="1"/>
  <c r="AA35" i="25" s="1"/>
  <c r="AB35" i="25" s="1"/>
  <c r="AD35" i="25"/>
  <c r="AE35" i="25" s="1"/>
  <c r="AO35" i="25"/>
  <c r="W22" i="25"/>
  <c r="Z22" i="25" s="1"/>
  <c r="AA22" i="25" s="1"/>
  <c r="AB22" i="25" s="1"/>
  <c r="AD22" i="25"/>
  <c r="AE22" i="25" s="1"/>
  <c r="AD306" i="25"/>
  <c r="AE306" i="25" s="1"/>
  <c r="W306" i="25"/>
  <c r="Z306" i="25" s="1"/>
  <c r="AA306" i="25" s="1"/>
  <c r="AB306" i="25" s="1"/>
  <c r="V305" i="25"/>
  <c r="U305" i="25"/>
  <c r="AO305" i="25"/>
  <c r="U288" i="25"/>
  <c r="V288" i="25"/>
  <c r="AD297" i="25"/>
  <c r="AE297" i="25" s="1"/>
  <c r="W297" i="25"/>
  <c r="Z297" i="25" s="1"/>
  <c r="AA297" i="25" s="1"/>
  <c r="AO297" i="25"/>
  <c r="U261" i="25"/>
  <c r="V261" i="25"/>
  <c r="AD245" i="25"/>
  <c r="AE245" i="25" s="1"/>
  <c r="W245" i="25"/>
  <c r="Z245" i="25" s="1"/>
  <c r="AA245" i="25" s="1"/>
  <c r="AO245" i="25"/>
  <c r="V208" i="25"/>
  <c r="U208" i="25"/>
  <c r="U291" i="25"/>
  <c r="V291" i="25"/>
  <c r="AD258" i="25"/>
  <c r="AE258" i="25" s="1"/>
  <c r="W258" i="25"/>
  <c r="Z258" i="25" s="1"/>
  <c r="AA258" i="25" s="1"/>
  <c r="AO258" i="25"/>
  <c r="AD228" i="25"/>
  <c r="AE228" i="25" s="1"/>
  <c r="W228" i="25"/>
  <c r="Z228" i="25" s="1"/>
  <c r="AA228" i="25" s="1"/>
  <c r="AO228" i="25"/>
  <c r="V209" i="25"/>
  <c r="U209" i="25"/>
  <c r="V171" i="25"/>
  <c r="U171" i="25"/>
  <c r="AD259" i="25"/>
  <c r="AE259" i="25" s="1"/>
  <c r="W259" i="25"/>
  <c r="Z259" i="25" s="1"/>
  <c r="AA259" i="25" s="1"/>
  <c r="AO259" i="25"/>
  <c r="AO142" i="25"/>
  <c r="AO189" i="25"/>
  <c r="AO165" i="25"/>
  <c r="AO127" i="25"/>
  <c r="AD295" i="25"/>
  <c r="AE295" i="25" s="1"/>
  <c r="W295" i="25"/>
  <c r="Z295" i="25" s="1"/>
  <c r="AA295" i="25" s="1"/>
  <c r="AO295" i="25"/>
  <c r="V49" i="25"/>
  <c r="U49" i="25"/>
  <c r="AO90" i="25"/>
  <c r="V60" i="25"/>
  <c r="U60" i="25"/>
  <c r="AO60" i="25"/>
  <c r="V24" i="25"/>
  <c r="U24" i="25"/>
  <c r="AO24" i="25"/>
  <c r="AO38" i="25"/>
  <c r="AO304" i="25"/>
  <c r="AO315" i="25"/>
  <c r="AO257" i="25"/>
  <c r="U206" i="25"/>
  <c r="V206" i="25"/>
  <c r="W274" i="25"/>
  <c r="Z274" i="25" s="1"/>
  <c r="AA274" i="25" s="1"/>
  <c r="AB274" i="25" s="1"/>
  <c r="AD274" i="25"/>
  <c r="AE274" i="25" s="1"/>
  <c r="U232" i="25"/>
  <c r="V232" i="25"/>
  <c r="V39" i="25"/>
  <c r="U39" i="25"/>
  <c r="V70" i="25"/>
  <c r="U70" i="25"/>
  <c r="W40" i="25"/>
  <c r="Z40" i="25" s="1"/>
  <c r="AA40" i="25" s="1"/>
  <c r="AB40" i="25" s="1"/>
  <c r="AD40" i="25"/>
  <c r="AE40" i="25" s="1"/>
  <c r="AD158" i="25"/>
  <c r="AE158" i="25" s="1"/>
  <c r="W158" i="25"/>
  <c r="Z158" i="25" s="1"/>
  <c r="AA158" i="25" s="1"/>
  <c r="AB158" i="25" s="1"/>
  <c r="AD157" i="25"/>
  <c r="AE157" i="25" s="1"/>
  <c r="W157" i="25"/>
  <c r="Z157" i="25" s="1"/>
  <c r="AA157" i="25" s="1"/>
  <c r="AB157" i="25" s="1"/>
  <c r="V43" i="25"/>
  <c r="U43" i="25"/>
  <c r="W44" i="25"/>
  <c r="Z44" i="25" s="1"/>
  <c r="AA44" i="25" s="1"/>
  <c r="AB44" i="25" s="1"/>
  <c r="AD44" i="25"/>
  <c r="AE44" i="25" s="1"/>
  <c r="U226" i="25"/>
  <c r="V226" i="25"/>
  <c r="AD218" i="25"/>
  <c r="AE218" i="25" s="1"/>
  <c r="W218" i="25"/>
  <c r="Z218" i="25" s="1"/>
  <c r="AA218" i="25" s="1"/>
  <c r="AO218" i="25"/>
  <c r="AO114" i="25"/>
  <c r="V79" i="25"/>
  <c r="U79" i="25"/>
  <c r="AO47" i="25"/>
  <c r="AO27" i="25"/>
  <c r="AO125" i="25"/>
  <c r="AO10" i="25"/>
  <c r="U6" i="25"/>
  <c r="V6" i="25"/>
  <c r="AO78" i="25"/>
  <c r="AO62" i="25"/>
  <c r="AO80" i="25"/>
  <c r="AO64" i="25"/>
  <c r="AO48" i="25"/>
  <c r="V28" i="25"/>
  <c r="U28" i="25"/>
  <c r="AO28" i="25"/>
  <c r="V12" i="25"/>
  <c r="U12" i="25"/>
  <c r="AO12" i="25"/>
  <c r="AO69" i="25"/>
  <c r="V69" i="25"/>
  <c r="U69" i="25"/>
  <c r="AO21" i="25"/>
  <c r="V21" i="25"/>
  <c r="U21" i="25"/>
  <c r="AO42" i="25"/>
  <c r="AO22" i="25"/>
  <c r="AO306" i="25"/>
  <c r="AD301" i="25"/>
  <c r="AE301" i="25" s="1"/>
  <c r="W301" i="25"/>
  <c r="Z301" i="25" s="1"/>
  <c r="AA301" i="25" s="1"/>
  <c r="AO301" i="25"/>
  <c r="U297" i="25"/>
  <c r="V297" i="25"/>
  <c r="AD281" i="25"/>
  <c r="AE281" i="25" s="1"/>
  <c r="W281" i="25"/>
  <c r="Z281" i="25" s="1"/>
  <c r="AA281" i="25" s="1"/>
  <c r="AO281" i="25"/>
  <c r="U245" i="25"/>
  <c r="V245" i="25"/>
  <c r="AD208" i="25"/>
  <c r="AE208" i="25" s="1"/>
  <c r="W208" i="25"/>
  <c r="Z208" i="25" s="1"/>
  <c r="AA208" i="25" s="1"/>
  <c r="U258" i="25"/>
  <c r="V258" i="25"/>
  <c r="AD242" i="25"/>
  <c r="AE242" i="25" s="1"/>
  <c r="W242" i="25"/>
  <c r="Z242" i="25" s="1"/>
  <c r="AA242" i="25" s="1"/>
  <c r="AO242" i="25"/>
  <c r="AO203" i="25"/>
  <c r="U228" i="25"/>
  <c r="V228" i="25"/>
  <c r="W209" i="25"/>
  <c r="Z209" i="25" s="1"/>
  <c r="AA209" i="25" s="1"/>
  <c r="AB209" i="25" s="1"/>
  <c r="AD209" i="25"/>
  <c r="AE209" i="25" s="1"/>
  <c r="AO171" i="25"/>
  <c r="AD139" i="25"/>
  <c r="AE139" i="25" s="1"/>
  <c r="W139" i="25"/>
  <c r="Z139" i="25" s="1"/>
  <c r="AA139" i="25" s="1"/>
  <c r="U259" i="25"/>
  <c r="V259" i="25"/>
  <c r="AD243" i="25"/>
  <c r="AE243" i="25" s="1"/>
  <c r="W243" i="25"/>
  <c r="Z243" i="25" s="1"/>
  <c r="AA243" i="25" s="1"/>
  <c r="AO243" i="25"/>
  <c r="AD142" i="25"/>
  <c r="AE142" i="25" s="1"/>
  <c r="W142" i="25"/>
  <c r="Z142" i="25" s="1"/>
  <c r="AA142" i="25" s="1"/>
  <c r="AB142" i="25" s="1"/>
  <c r="U142" i="25"/>
  <c r="V142" i="25"/>
  <c r="U189" i="25"/>
  <c r="V189" i="25"/>
  <c r="AD181" i="25"/>
  <c r="AE181" i="25" s="1"/>
  <c r="W181" i="25"/>
  <c r="Z181" i="25" s="1"/>
  <c r="AA181" i="25" s="1"/>
  <c r="U165" i="25"/>
  <c r="V165" i="25"/>
  <c r="AD149" i="25"/>
  <c r="AE149" i="25" s="1"/>
  <c r="W149" i="25"/>
  <c r="Z149" i="25" s="1"/>
  <c r="AA149" i="25" s="1"/>
  <c r="V127" i="25"/>
  <c r="U127" i="25"/>
  <c r="AD102" i="25"/>
  <c r="AE102" i="25" s="1"/>
  <c r="W102" i="25"/>
  <c r="Z102" i="25" s="1"/>
  <c r="AA102" i="25" s="1"/>
  <c r="AB102" i="25" s="1"/>
  <c r="AO102" i="25"/>
  <c r="AD94" i="25"/>
  <c r="AE94" i="25" s="1"/>
  <c r="W94" i="25"/>
  <c r="Z94" i="25" s="1"/>
  <c r="AA94" i="25" s="1"/>
  <c r="AB94" i="25" s="1"/>
  <c r="AO94" i="25"/>
  <c r="AD231" i="25"/>
  <c r="AE231" i="25" s="1"/>
  <c r="W231" i="25"/>
  <c r="Z231" i="25" s="1"/>
  <c r="AA231" i="25" s="1"/>
  <c r="AO231" i="25"/>
  <c r="AO126" i="25"/>
  <c r="U295" i="25"/>
  <c r="V295" i="25"/>
  <c r="W59" i="25"/>
  <c r="Z59" i="25" s="1"/>
  <c r="AA59" i="25" s="1"/>
  <c r="AB59" i="25" s="1"/>
  <c r="AD59" i="25"/>
  <c r="AE59" i="25" s="1"/>
  <c r="V59" i="25"/>
  <c r="U59" i="25"/>
  <c r="AD117" i="25"/>
  <c r="AE117" i="25" s="1"/>
  <c r="W117" i="25"/>
  <c r="Z117" i="25" s="1"/>
  <c r="AA117" i="25" s="1"/>
  <c r="AO49" i="25"/>
  <c r="AO9" i="25"/>
  <c r="V90" i="25"/>
  <c r="U90" i="25"/>
  <c r="AO54" i="25"/>
  <c r="AD53" i="25"/>
  <c r="AE53" i="25" s="1"/>
  <c r="W53" i="25"/>
  <c r="Z53" i="25" s="1"/>
  <c r="AA53" i="25" s="1"/>
  <c r="AB53" i="25" s="1"/>
  <c r="V53" i="25"/>
  <c r="U53" i="25"/>
  <c r="W18" i="25"/>
  <c r="Z18" i="25" s="1"/>
  <c r="AA18" i="25" s="1"/>
  <c r="AB18" i="25" s="1"/>
  <c r="AD18" i="25"/>
  <c r="AE18" i="25" s="1"/>
  <c r="AO18" i="25"/>
  <c r="U293" i="25"/>
  <c r="V293" i="25"/>
  <c r="AO279" i="25"/>
  <c r="AD283" i="25"/>
  <c r="AE283" i="25" s="1"/>
  <c r="W283" i="25"/>
  <c r="Z283" i="25" s="1"/>
  <c r="AA283" i="25" s="1"/>
  <c r="AB283" i="25" s="1"/>
  <c r="AD254" i="25"/>
  <c r="AE254" i="25" s="1"/>
  <c r="W254" i="25"/>
  <c r="Z254" i="25" s="1"/>
  <c r="AA254" i="25" s="1"/>
  <c r="AB254" i="25" s="1"/>
  <c r="AO154" i="25"/>
  <c r="V156" i="25"/>
  <c r="U156" i="25"/>
  <c r="AD87" i="25"/>
  <c r="AE87" i="25" s="1"/>
  <c r="W87" i="25"/>
  <c r="Z87" i="25" s="1"/>
  <c r="AA87" i="25" s="1"/>
  <c r="AB87" i="25" s="1"/>
  <c r="AD19" i="25"/>
  <c r="AE19" i="25" s="1"/>
  <c r="W19" i="25"/>
  <c r="Z19" i="25" s="1"/>
  <c r="AA19" i="25" s="1"/>
  <c r="AB19" i="25" s="1"/>
  <c r="W50" i="25"/>
  <c r="Z50" i="25" s="1"/>
  <c r="AA50" i="25" s="1"/>
  <c r="AB50" i="25" s="1"/>
  <c r="AD50" i="25"/>
  <c r="AE50" i="25" s="1"/>
  <c r="AD251" i="25"/>
  <c r="AE251" i="25" s="1"/>
  <c r="W251" i="25"/>
  <c r="Z251" i="25" s="1"/>
  <c r="AA251" i="25" s="1"/>
  <c r="AB251" i="25" s="1"/>
  <c r="U235" i="25"/>
  <c r="V235" i="25"/>
  <c r="W74" i="25"/>
  <c r="Z74" i="25" s="1"/>
  <c r="AA74" i="25" s="1"/>
  <c r="AB74" i="25" s="1"/>
  <c r="AD74" i="25"/>
  <c r="AE74" i="25" s="1"/>
  <c r="V34" i="25"/>
  <c r="U34" i="25"/>
  <c r="AD304" i="25"/>
  <c r="AE304" i="25" s="1"/>
  <c r="W304" i="25"/>
  <c r="Z304" i="25" s="1"/>
  <c r="AA304" i="25" s="1"/>
  <c r="AD315" i="25"/>
  <c r="AE315" i="25" s="1"/>
  <c r="W315" i="25"/>
  <c r="Z315" i="25" s="1"/>
  <c r="AA315" i="25" s="1"/>
  <c r="AB315" i="25" s="1"/>
  <c r="AO300" i="25"/>
  <c r="AO309" i="25"/>
  <c r="AO241" i="25"/>
  <c r="V204" i="25"/>
  <c r="U204" i="25"/>
  <c r="AO254" i="25"/>
  <c r="AO224" i="25"/>
  <c r="AD206" i="25"/>
  <c r="AE206" i="25" s="1"/>
  <c r="W206" i="25"/>
  <c r="Z206" i="25" s="1"/>
  <c r="AA206" i="25" s="1"/>
  <c r="AD167" i="25"/>
  <c r="AE167" i="25" s="1"/>
  <c r="W167" i="25"/>
  <c r="Z167" i="25" s="1"/>
  <c r="AA167" i="25" s="1"/>
  <c r="AB167" i="25" s="1"/>
  <c r="V135" i="25"/>
  <c r="U135" i="25"/>
  <c r="V274" i="25"/>
  <c r="U274" i="25"/>
  <c r="AO256" i="25"/>
  <c r="U248" i="25"/>
  <c r="V248" i="25"/>
  <c r="AO170" i="25"/>
  <c r="V180" i="25"/>
  <c r="U180" i="25"/>
  <c r="V148" i="25"/>
  <c r="U148" i="25"/>
  <c r="V123" i="25"/>
  <c r="U123" i="25"/>
  <c r="AO230" i="25"/>
  <c r="V122" i="25"/>
  <c r="U122" i="25"/>
  <c r="AO87" i="25"/>
  <c r="U113" i="25"/>
  <c r="V113" i="25"/>
  <c r="AD33" i="25"/>
  <c r="AE33" i="25" s="1"/>
  <c r="W33" i="25"/>
  <c r="Z33" i="25" s="1"/>
  <c r="AA33" i="25" s="1"/>
  <c r="AB33" i="25" s="1"/>
  <c r="AD120" i="25"/>
  <c r="AE120" i="25" s="1"/>
  <c r="W120" i="25"/>
  <c r="Z120" i="25" s="1"/>
  <c r="AA120" i="25" s="1"/>
  <c r="AB120" i="25" s="1"/>
  <c r="W70" i="25"/>
  <c r="Z70" i="25" s="1"/>
  <c r="AA70" i="25" s="1"/>
  <c r="AB70" i="25" s="1"/>
  <c r="AD70" i="25"/>
  <c r="AE70" i="25" s="1"/>
  <c r="AD72" i="25"/>
  <c r="AE72" i="25" s="1"/>
  <c r="W72" i="25"/>
  <c r="Z72" i="25" s="1"/>
  <c r="AA72" i="25" s="1"/>
  <c r="AB72" i="25" s="1"/>
  <c r="V37" i="25"/>
  <c r="U37" i="25"/>
  <c r="V30" i="25"/>
  <c r="U30" i="25"/>
  <c r="AO14" i="25"/>
  <c r="V187" i="25"/>
  <c r="U187" i="25"/>
  <c r="V155" i="25"/>
  <c r="U155" i="25"/>
  <c r="AO251" i="25"/>
  <c r="U190" i="25"/>
  <c r="V190" i="25"/>
  <c r="U197" i="25"/>
  <c r="V197" i="25"/>
  <c r="AD141" i="25"/>
  <c r="AE141" i="25" s="1"/>
  <c r="W141" i="25"/>
  <c r="Z141" i="25" s="1"/>
  <c r="AA141" i="25" s="1"/>
  <c r="U133" i="25"/>
  <c r="V133" i="25"/>
  <c r="AO111" i="25"/>
  <c r="AO75" i="25"/>
  <c r="W23" i="25"/>
  <c r="Z23" i="25" s="1"/>
  <c r="AA23" i="25" s="1"/>
  <c r="AB23" i="25" s="1"/>
  <c r="AD23" i="25"/>
  <c r="AE23" i="25" s="1"/>
  <c r="U121" i="25"/>
  <c r="V121" i="25"/>
  <c r="W34" i="25"/>
  <c r="Z34" i="25" s="1"/>
  <c r="AA34" i="25" s="1"/>
  <c r="AB34" i="25" s="1"/>
  <c r="AD34" i="25"/>
  <c r="AE34" i="25" s="1"/>
  <c r="AO284" i="25"/>
  <c r="AD293" i="25"/>
  <c r="AE293" i="25" s="1"/>
  <c r="W293" i="25"/>
  <c r="Z293" i="25" s="1"/>
  <c r="AA293" i="25" s="1"/>
  <c r="AO293" i="25"/>
  <c r="W279" i="25"/>
  <c r="Z279" i="25" s="1"/>
  <c r="AA279" i="25" s="1"/>
  <c r="AB279" i="25" s="1"/>
  <c r="AD279" i="25"/>
  <c r="AE279" i="25" s="1"/>
  <c r="AO294" i="25"/>
  <c r="AD257" i="25"/>
  <c r="AE257" i="25" s="1"/>
  <c r="W257" i="25"/>
  <c r="Z257" i="25" s="1"/>
  <c r="AA257" i="25" s="1"/>
  <c r="AB257" i="25" s="1"/>
  <c r="U257" i="25"/>
  <c r="V257" i="25"/>
  <c r="AO204" i="25"/>
  <c r="U283" i="25"/>
  <c r="V283" i="25"/>
  <c r="U238" i="25"/>
  <c r="V238" i="25"/>
  <c r="V308" i="25"/>
  <c r="U308" i="25"/>
  <c r="V167" i="25"/>
  <c r="U167" i="25"/>
  <c r="AD135" i="25"/>
  <c r="AE135" i="25" s="1"/>
  <c r="W135" i="25"/>
  <c r="Z135" i="25" s="1"/>
  <c r="AA135" i="25" s="1"/>
  <c r="AB135" i="25" s="1"/>
  <c r="AD240" i="25"/>
  <c r="AE240" i="25" s="1"/>
  <c r="W240" i="25"/>
  <c r="Z240" i="25" s="1"/>
  <c r="AA240" i="25" s="1"/>
  <c r="AB240" i="25" s="1"/>
  <c r="AO138" i="25"/>
  <c r="V196" i="25"/>
  <c r="U196" i="25"/>
  <c r="V164" i="25"/>
  <c r="U164" i="25"/>
  <c r="V132" i="25"/>
  <c r="U132" i="25"/>
  <c r="AO105" i="25"/>
  <c r="AO101" i="25"/>
  <c r="AO97" i="25"/>
  <c r="AO93" i="25"/>
  <c r="AO277" i="25"/>
  <c r="AD230" i="25"/>
  <c r="AE230" i="25" s="1"/>
  <c r="W230" i="25"/>
  <c r="Z230" i="25" s="1"/>
  <c r="AA230" i="25" s="1"/>
  <c r="AB230" i="25" s="1"/>
  <c r="AD71" i="25"/>
  <c r="AE71" i="25" s="1"/>
  <c r="W71" i="25"/>
  <c r="Z71" i="25" s="1"/>
  <c r="AA71" i="25" s="1"/>
  <c r="AB71" i="25" s="1"/>
  <c r="V55" i="25"/>
  <c r="U55" i="25"/>
  <c r="V19" i="25"/>
  <c r="U19" i="25"/>
  <c r="AD65" i="25"/>
  <c r="AE65" i="25" s="1"/>
  <c r="W65" i="25"/>
  <c r="Z65" i="25" s="1"/>
  <c r="AA65" i="25" s="1"/>
  <c r="AB65" i="25" s="1"/>
  <c r="AD13" i="25"/>
  <c r="AE13" i="25" s="1"/>
  <c r="W13" i="25"/>
  <c r="Z13" i="25" s="1"/>
  <c r="AA13" i="25" s="1"/>
  <c r="AB13" i="25" s="1"/>
  <c r="AO120" i="25"/>
  <c r="W86" i="25"/>
  <c r="Z86" i="25" s="1"/>
  <c r="AA86" i="25" s="1"/>
  <c r="AB86" i="25" s="1"/>
  <c r="AD86" i="25"/>
  <c r="AE86" i="25" s="1"/>
  <c r="W88" i="25"/>
  <c r="Z88" i="25" s="1"/>
  <c r="AA88" i="25" s="1"/>
  <c r="AB88" i="25" s="1"/>
  <c r="AD88" i="25"/>
  <c r="AE88" i="25" s="1"/>
  <c r="W56" i="25"/>
  <c r="Z56" i="25" s="1"/>
  <c r="AA56" i="25" s="1"/>
  <c r="AB56" i="25" s="1"/>
  <c r="AD56" i="25"/>
  <c r="AE56" i="25" s="1"/>
  <c r="V50" i="25"/>
  <c r="U50" i="25"/>
  <c r="AD316" i="25"/>
  <c r="AE316" i="25" s="1"/>
  <c r="W316" i="25"/>
  <c r="Z316" i="25" s="1"/>
  <c r="AA316" i="25" s="1"/>
  <c r="AB316" i="25" s="1"/>
  <c r="AO201" i="25"/>
  <c r="U158" i="25"/>
  <c r="V158" i="25"/>
  <c r="AD173" i="25"/>
  <c r="AE173" i="25" s="1"/>
  <c r="W173" i="25"/>
  <c r="Z173" i="25" s="1"/>
  <c r="AA173" i="25" s="1"/>
  <c r="AB173" i="25" s="1"/>
  <c r="U157" i="25"/>
  <c r="V157" i="25"/>
  <c r="AD111" i="25"/>
  <c r="AE111" i="25" s="1"/>
  <c r="W111" i="25"/>
  <c r="Z111" i="25" s="1"/>
  <c r="AA111" i="25" s="1"/>
  <c r="AB111" i="25" s="1"/>
  <c r="AO290" i="25"/>
  <c r="W43" i="25"/>
  <c r="Z43" i="25" s="1"/>
  <c r="AA43" i="25" s="1"/>
  <c r="AB43" i="25" s="1"/>
  <c r="AD43" i="25"/>
  <c r="AE43" i="25" s="1"/>
  <c r="AO23" i="25"/>
  <c r="AO73" i="25"/>
  <c r="AD17" i="25"/>
  <c r="AE17" i="25" s="1"/>
  <c r="W17" i="25"/>
  <c r="Z17" i="25" s="1"/>
  <c r="AA17" i="25" s="1"/>
  <c r="AB17" i="25" s="1"/>
  <c r="V124" i="25"/>
  <c r="U124" i="25"/>
  <c r="V44" i="25"/>
  <c r="U44" i="25"/>
  <c r="W58" i="25"/>
  <c r="Z58" i="25" s="1"/>
  <c r="AA58" i="25" s="1"/>
  <c r="AB58" i="25" s="1"/>
  <c r="AD58" i="25"/>
  <c r="AE58" i="25" s="1"/>
  <c r="AO34" i="25"/>
  <c r="AD294" i="25"/>
  <c r="AE294" i="25" s="1"/>
  <c r="W294" i="25"/>
  <c r="Z294" i="25" s="1"/>
  <c r="AA294" i="25" s="1"/>
  <c r="U294" i="25"/>
  <c r="V294" i="25"/>
  <c r="AD199" i="25"/>
  <c r="AE199" i="25" s="1"/>
  <c r="W199" i="25"/>
  <c r="Z199" i="25" s="1"/>
  <c r="AA199" i="25" s="1"/>
  <c r="AB199" i="25" s="1"/>
  <c r="V183" i="25"/>
  <c r="U183" i="25"/>
  <c r="AD151" i="25"/>
  <c r="AE151" i="25" s="1"/>
  <c r="W151" i="25"/>
  <c r="Z151" i="25" s="1"/>
  <c r="AA151" i="25" s="1"/>
  <c r="AB151" i="25" s="1"/>
  <c r="U264" i="25"/>
  <c r="V264" i="25"/>
  <c r="AD217" i="25"/>
  <c r="AE217" i="25" s="1"/>
  <c r="W217" i="25"/>
  <c r="Z217" i="25" s="1"/>
  <c r="AA217" i="25" s="1"/>
  <c r="AB217" i="25" s="1"/>
  <c r="AO186" i="25"/>
  <c r="V172" i="25"/>
  <c r="U172" i="25"/>
  <c r="V140" i="25"/>
  <c r="U140" i="25"/>
  <c r="V277" i="25"/>
  <c r="U277" i="25"/>
  <c r="AD122" i="25"/>
  <c r="AE122" i="25" s="1"/>
  <c r="W122" i="25"/>
  <c r="Z122" i="25" s="1"/>
  <c r="AA122" i="25" s="1"/>
  <c r="AD39" i="25"/>
  <c r="AE39" i="25" s="1"/>
  <c r="W39" i="25"/>
  <c r="Z39" i="25" s="1"/>
  <c r="AA39" i="25" s="1"/>
  <c r="AB39" i="25" s="1"/>
  <c r="AD113" i="25"/>
  <c r="AE113" i="25" s="1"/>
  <c r="W113" i="25"/>
  <c r="Z113" i="25" s="1"/>
  <c r="AA113" i="25" s="1"/>
  <c r="AB113" i="25" s="1"/>
  <c r="AO13" i="25"/>
  <c r="W8" i="25"/>
  <c r="Z8" i="25" s="1"/>
  <c r="AA8" i="25" s="1"/>
  <c r="AB8" i="25" s="1"/>
  <c r="AD8" i="25"/>
  <c r="AE8" i="25" s="1"/>
  <c r="U8" i="25"/>
  <c r="V8" i="25"/>
  <c r="V120" i="25"/>
  <c r="U120" i="25"/>
  <c r="V86" i="25"/>
  <c r="U86" i="25"/>
  <c r="V88" i="25"/>
  <c r="U88" i="25"/>
  <c r="W20" i="25"/>
  <c r="Z20" i="25" s="1"/>
  <c r="AA20" i="25" s="1"/>
  <c r="AB20" i="25" s="1"/>
  <c r="AD20" i="25"/>
  <c r="AE20" i="25" s="1"/>
  <c r="AD45" i="25"/>
  <c r="AE45" i="25" s="1"/>
  <c r="W45" i="25"/>
  <c r="Z45" i="25" s="1"/>
  <c r="AA45" i="25" s="1"/>
  <c r="AB45" i="25" s="1"/>
  <c r="W37" i="25"/>
  <c r="Z37" i="25" s="1"/>
  <c r="AA37" i="25" s="1"/>
  <c r="AB37" i="25" s="1"/>
  <c r="AD37" i="25"/>
  <c r="AE37" i="25" s="1"/>
  <c r="W30" i="25"/>
  <c r="Z30" i="25" s="1"/>
  <c r="AA30" i="25" s="1"/>
  <c r="AB30" i="25" s="1"/>
  <c r="AD30" i="25"/>
  <c r="AE30" i="25" s="1"/>
  <c r="V201" i="25"/>
  <c r="U201" i="25"/>
  <c r="U267" i="25"/>
  <c r="V267" i="25"/>
  <c r="AD190" i="25"/>
  <c r="AE190" i="25" s="1"/>
  <c r="W190" i="25"/>
  <c r="Z190" i="25" s="1"/>
  <c r="AA190" i="25" s="1"/>
  <c r="AD197" i="25"/>
  <c r="AE197" i="25" s="1"/>
  <c r="W197" i="25"/>
  <c r="Z197" i="25" s="1"/>
  <c r="AA197" i="25" s="1"/>
  <c r="U173" i="25"/>
  <c r="V173" i="25"/>
  <c r="AD133" i="25"/>
  <c r="AE133" i="25" s="1"/>
  <c r="W133" i="25"/>
  <c r="Z133" i="25" s="1"/>
  <c r="AA133" i="25" s="1"/>
  <c r="AD290" i="25"/>
  <c r="AE290" i="25" s="1"/>
  <c r="W290" i="25"/>
  <c r="Z290" i="25" s="1"/>
  <c r="AA290" i="25" s="1"/>
  <c r="U223" i="25"/>
  <c r="V223" i="25"/>
  <c r="AO17" i="25"/>
  <c r="AD124" i="25"/>
  <c r="AE124" i="25" s="1"/>
  <c r="W124" i="25"/>
  <c r="Z124" i="25" s="1"/>
  <c r="AA124" i="25" s="1"/>
  <c r="AB124" i="25" s="1"/>
  <c r="V74" i="25"/>
  <c r="U74" i="25"/>
  <c r="W76" i="25"/>
  <c r="Z76" i="25" s="1"/>
  <c r="AA76" i="25" s="1"/>
  <c r="AB76" i="25" s="1"/>
  <c r="AD76" i="25"/>
  <c r="AE76" i="25" s="1"/>
  <c r="AD121" i="25"/>
  <c r="AE121" i="25" s="1"/>
  <c r="W121" i="25"/>
  <c r="Z121" i="25" s="1"/>
  <c r="AA121" i="25" s="1"/>
  <c r="AB121" i="25" s="1"/>
  <c r="V58" i="25"/>
  <c r="U58" i="25"/>
  <c r="V38" i="25"/>
  <c r="U38" i="25"/>
  <c r="AD300" i="25"/>
  <c r="AE300" i="25" s="1"/>
  <c r="W300" i="25"/>
  <c r="Z300" i="25" s="1"/>
  <c r="AA300" i="25" s="1"/>
  <c r="V279" i="25"/>
  <c r="U279" i="25"/>
  <c r="W309" i="25"/>
  <c r="Z309" i="25" s="1"/>
  <c r="AA309" i="25" s="1"/>
  <c r="AD309" i="25"/>
  <c r="AE309" i="25" s="1"/>
  <c r="V309" i="25"/>
  <c r="U309" i="25"/>
  <c r="U241" i="25"/>
  <c r="V241" i="25"/>
  <c r="AD204" i="25"/>
  <c r="AE204" i="25" s="1"/>
  <c r="W204" i="25"/>
  <c r="Z204" i="25" s="1"/>
  <c r="AA204" i="25" s="1"/>
  <c r="U254" i="25"/>
  <c r="V254" i="25"/>
  <c r="AD238" i="25"/>
  <c r="AE238" i="25" s="1"/>
  <c r="W238" i="25"/>
  <c r="Z238" i="25" s="1"/>
  <c r="AA238" i="25" s="1"/>
  <c r="AO238" i="25"/>
  <c r="AO308" i="25"/>
  <c r="AO206" i="25"/>
  <c r="AO183" i="25"/>
  <c r="AO151" i="25"/>
  <c r="AD264" i="25"/>
  <c r="AE264" i="25" s="1"/>
  <c r="W264" i="25"/>
  <c r="Z264" i="25" s="1"/>
  <c r="AA264" i="25" s="1"/>
  <c r="AO264" i="25"/>
  <c r="U240" i="25"/>
  <c r="V240" i="25"/>
  <c r="AD232" i="25"/>
  <c r="AE232" i="25" s="1"/>
  <c r="W232" i="25"/>
  <c r="Z232" i="25" s="1"/>
  <c r="AA232" i="25" s="1"/>
  <c r="AO232" i="25"/>
  <c r="AD170" i="25"/>
  <c r="AE170" i="25" s="1"/>
  <c r="W170" i="25"/>
  <c r="Z170" i="25" s="1"/>
  <c r="AA170" i="25" s="1"/>
  <c r="AB170" i="25" s="1"/>
  <c r="U170" i="25"/>
  <c r="V170" i="25"/>
  <c r="AD138" i="25"/>
  <c r="AE138" i="25" s="1"/>
  <c r="W138" i="25"/>
  <c r="Z138" i="25" s="1"/>
  <c r="AA138" i="25" s="1"/>
  <c r="AB138" i="25" s="1"/>
  <c r="U138" i="25"/>
  <c r="V138" i="25"/>
  <c r="AO196" i="25"/>
  <c r="W188" i="25"/>
  <c r="Z188" i="25" s="1"/>
  <c r="AA188" i="25" s="1"/>
  <c r="AB188" i="25" s="1"/>
  <c r="AD188" i="25"/>
  <c r="AE188" i="25" s="1"/>
  <c r="AO180" i="25"/>
  <c r="W172" i="25"/>
  <c r="Z172" i="25" s="1"/>
  <c r="AA172" i="25" s="1"/>
  <c r="AB172" i="25" s="1"/>
  <c r="AD172" i="25"/>
  <c r="AE172" i="25" s="1"/>
  <c r="AO164" i="25"/>
  <c r="W156" i="25"/>
  <c r="Z156" i="25" s="1"/>
  <c r="AA156" i="25" s="1"/>
  <c r="AB156" i="25" s="1"/>
  <c r="AD156" i="25"/>
  <c r="AE156" i="25" s="1"/>
  <c r="AO148" i="25"/>
  <c r="W140" i="25"/>
  <c r="Z140" i="25" s="1"/>
  <c r="AA140" i="25" s="1"/>
  <c r="AB140" i="25" s="1"/>
  <c r="AD140" i="25"/>
  <c r="AE140" i="25" s="1"/>
  <c r="AO132" i="25"/>
  <c r="AD123" i="25"/>
  <c r="AE123" i="25" s="1"/>
  <c r="W123" i="25"/>
  <c r="Z123" i="25" s="1"/>
  <c r="AA123" i="25" s="1"/>
  <c r="AO123" i="25"/>
  <c r="U230" i="25"/>
  <c r="V230" i="25"/>
  <c r="AD222" i="25"/>
  <c r="AE222" i="25" s="1"/>
  <c r="W222" i="25"/>
  <c r="Z222" i="25" s="1"/>
  <c r="AA222" i="25" s="1"/>
  <c r="AO222" i="25"/>
  <c r="AO122" i="25"/>
  <c r="V87" i="25"/>
  <c r="U87" i="25"/>
  <c r="V71" i="25"/>
  <c r="U71" i="25"/>
  <c r="AO55" i="25"/>
  <c r="AO39" i="25"/>
  <c r="AO19" i="25"/>
  <c r="AO113" i="25"/>
  <c r="AO65" i="25"/>
  <c r="AO33" i="25"/>
  <c r="AO8" i="25"/>
  <c r="AO86" i="25"/>
  <c r="AO70" i="25"/>
  <c r="AO88" i="25"/>
  <c r="AO72" i="25"/>
  <c r="AO56" i="25"/>
  <c r="V40" i="25"/>
  <c r="U40" i="25"/>
  <c r="AO40" i="25"/>
  <c r="V20" i="25"/>
  <c r="U20" i="25"/>
  <c r="AO20" i="25"/>
  <c r="AO89" i="25"/>
  <c r="V89" i="25"/>
  <c r="U89" i="25"/>
  <c r="AO45" i="25"/>
  <c r="V45" i="25"/>
  <c r="U45" i="25"/>
  <c r="AO50" i="25"/>
  <c r="AO30" i="25"/>
  <c r="V14" i="25"/>
  <c r="U14" i="25"/>
  <c r="V316" i="25"/>
  <c r="U316" i="25"/>
  <c r="W201" i="25"/>
  <c r="Z201" i="25" s="1"/>
  <c r="AA201" i="25" s="1"/>
  <c r="AB201" i="25" s="1"/>
  <c r="AD201" i="25"/>
  <c r="AE201" i="25" s="1"/>
  <c r="AO187" i="25"/>
  <c r="AD155" i="25"/>
  <c r="AE155" i="25" s="1"/>
  <c r="W155" i="25"/>
  <c r="Z155" i="25" s="1"/>
  <c r="AA155" i="25" s="1"/>
  <c r="U251" i="25"/>
  <c r="V251" i="25"/>
  <c r="AD235" i="25"/>
  <c r="AE235" i="25" s="1"/>
  <c r="W235" i="25"/>
  <c r="Z235" i="25" s="1"/>
  <c r="AA235" i="25" s="1"/>
  <c r="AO235" i="25"/>
  <c r="AO190" i="25"/>
  <c r="AO173" i="25"/>
  <c r="AO141" i="25"/>
  <c r="V111" i="25"/>
  <c r="U111" i="25"/>
  <c r="V98" i="25"/>
  <c r="U98" i="25"/>
  <c r="V75" i="25"/>
  <c r="U75" i="25"/>
  <c r="V23" i="25"/>
  <c r="U23" i="25"/>
  <c r="V73" i="25"/>
  <c r="U73" i="25"/>
  <c r="V17" i="25"/>
  <c r="U17" i="25"/>
  <c r="V76" i="25"/>
  <c r="U76" i="25"/>
  <c r="AO58" i="25"/>
  <c r="AO199" i="25"/>
  <c r="AO167" i="25"/>
  <c r="AO135" i="25"/>
  <c r="AO274" i="25"/>
  <c r="U256" i="25"/>
  <c r="V256" i="25"/>
  <c r="AD248" i="25"/>
  <c r="AE248" i="25" s="1"/>
  <c r="W248" i="25"/>
  <c r="Z248" i="25" s="1"/>
  <c r="AA248" i="25" s="1"/>
  <c r="AO248" i="25"/>
  <c r="U217" i="25"/>
  <c r="V217" i="25"/>
  <c r="AD186" i="25"/>
  <c r="AE186" i="25" s="1"/>
  <c r="W186" i="25"/>
  <c r="Z186" i="25" s="1"/>
  <c r="AA186" i="25" s="1"/>
  <c r="AB186" i="25" s="1"/>
  <c r="U186" i="25"/>
  <c r="V186" i="25"/>
  <c r="AD154" i="25"/>
  <c r="AE154" i="25" s="1"/>
  <c r="W154" i="25"/>
  <c r="Z154" i="25" s="1"/>
  <c r="AA154" i="25" s="1"/>
  <c r="AB154" i="25" s="1"/>
  <c r="U154" i="25"/>
  <c r="V154" i="25"/>
  <c r="W196" i="25"/>
  <c r="Z196" i="25" s="1"/>
  <c r="AA196" i="25" s="1"/>
  <c r="AB196" i="25" s="1"/>
  <c r="AD196" i="25"/>
  <c r="AE196" i="25" s="1"/>
  <c r="AO188" i="25"/>
  <c r="W180" i="25"/>
  <c r="Z180" i="25" s="1"/>
  <c r="AA180" i="25" s="1"/>
  <c r="AB180" i="25" s="1"/>
  <c r="AD180" i="25"/>
  <c r="AE180" i="25" s="1"/>
  <c r="AO172" i="25"/>
  <c r="W164" i="25"/>
  <c r="Z164" i="25" s="1"/>
  <c r="AA164" i="25" s="1"/>
  <c r="AB164" i="25" s="1"/>
  <c r="AD164" i="25"/>
  <c r="AE164" i="25" s="1"/>
  <c r="AO156" i="25"/>
  <c r="W148" i="25"/>
  <c r="Z148" i="25" s="1"/>
  <c r="AA148" i="25" s="1"/>
  <c r="AB148" i="25" s="1"/>
  <c r="AD148" i="25"/>
  <c r="AE148" i="25" s="1"/>
  <c r="AO140" i="25"/>
  <c r="W132" i="25"/>
  <c r="Z132" i="25" s="1"/>
  <c r="AA132" i="25" s="1"/>
  <c r="AB132" i="25" s="1"/>
  <c r="AD132" i="25"/>
  <c r="AE132" i="25" s="1"/>
  <c r="AD105" i="25"/>
  <c r="AE105" i="25" s="1"/>
  <c r="W105" i="25"/>
  <c r="Z105" i="25" s="1"/>
  <c r="AA105" i="25" s="1"/>
  <c r="AB105" i="25" s="1"/>
  <c r="V105" i="25"/>
  <c r="U105" i="25"/>
  <c r="AD101" i="25"/>
  <c r="AE101" i="25" s="1"/>
  <c r="W101" i="25"/>
  <c r="Z101" i="25" s="1"/>
  <c r="AA101" i="25" s="1"/>
  <c r="AB101" i="25" s="1"/>
  <c r="V101" i="25"/>
  <c r="U101" i="25"/>
  <c r="AD97" i="25"/>
  <c r="AE97" i="25" s="1"/>
  <c r="W97" i="25"/>
  <c r="Z97" i="25" s="1"/>
  <c r="AA97" i="25" s="1"/>
  <c r="AB97" i="25" s="1"/>
  <c r="V97" i="25"/>
  <c r="U97" i="25"/>
  <c r="AD93" i="25"/>
  <c r="AE93" i="25" s="1"/>
  <c r="W93" i="25"/>
  <c r="Z93" i="25" s="1"/>
  <c r="AA93" i="25" s="1"/>
  <c r="AB93" i="25" s="1"/>
  <c r="V93" i="25"/>
  <c r="U93" i="25"/>
  <c r="AD277" i="25"/>
  <c r="AE277" i="25" s="1"/>
  <c r="W277" i="25"/>
  <c r="Z277" i="25" s="1"/>
  <c r="AA277" i="25" s="1"/>
  <c r="AO71" i="25"/>
  <c r="V65" i="25"/>
  <c r="U65" i="25"/>
  <c r="V33" i="25"/>
  <c r="U33" i="25"/>
  <c r="V13" i="25"/>
  <c r="U13" i="25"/>
  <c r="V72" i="25"/>
  <c r="U72" i="25"/>
  <c r="V56" i="25"/>
  <c r="U56" i="25"/>
  <c r="AO316" i="25"/>
  <c r="AD187" i="25"/>
  <c r="AE187" i="25" s="1"/>
  <c r="W187" i="25"/>
  <c r="Z187" i="25" s="1"/>
  <c r="AA187" i="25" s="1"/>
  <c r="AO155" i="25"/>
  <c r="AD267" i="25"/>
  <c r="AE267" i="25" s="1"/>
  <c r="W267" i="25"/>
  <c r="Z267" i="25" s="1"/>
  <c r="AA267" i="25" s="1"/>
  <c r="AO267" i="25"/>
  <c r="AO158" i="25"/>
  <c r="AO197" i="25"/>
  <c r="AO157" i="25"/>
  <c r="AO133" i="25"/>
  <c r="AO98" i="25"/>
  <c r="U290" i="25"/>
  <c r="V290" i="25"/>
  <c r="AD223" i="25"/>
  <c r="AE223" i="25" s="1"/>
  <c r="W223" i="25"/>
  <c r="Z223" i="25" s="1"/>
  <c r="AA223" i="25" s="1"/>
  <c r="AO223" i="25"/>
  <c r="AO43" i="25"/>
  <c r="AO74" i="25"/>
  <c r="AO76" i="25"/>
  <c r="AO44" i="25"/>
  <c r="AO121" i="25"/>
  <c r="K67" i="23"/>
  <c r="M67" i="23" s="1"/>
  <c r="L103" i="23"/>
  <c r="M103" i="23" s="1"/>
  <c r="L88" i="23"/>
  <c r="M88" i="23" s="1"/>
  <c r="K20" i="23"/>
  <c r="M20" i="23" s="1"/>
  <c r="AP5" i="24"/>
  <c r="W315" i="24"/>
  <c r="Y315" i="24" s="1"/>
  <c r="K63" i="23"/>
  <c r="M63" i="23" s="1"/>
  <c r="L49" i="23"/>
  <c r="M49" i="23" s="1"/>
  <c r="K84" i="23"/>
  <c r="M84" i="23" s="1"/>
  <c r="AP224" i="24"/>
  <c r="L60" i="23"/>
  <c r="M60" i="23" s="1"/>
  <c r="AP228" i="24"/>
  <c r="AP270" i="24"/>
  <c r="W303" i="24"/>
  <c r="Y303" i="24" s="1"/>
  <c r="AP259" i="24"/>
  <c r="AP230" i="24"/>
  <c r="AP274" i="24"/>
  <c r="AP252" i="24"/>
  <c r="AP284" i="24"/>
  <c r="AP241" i="24"/>
  <c r="AP273" i="24"/>
  <c r="AP305" i="24"/>
  <c r="AP286" i="24"/>
  <c r="AP288" i="24"/>
  <c r="AP265" i="24"/>
  <c r="AP266" i="24"/>
  <c r="AP237" i="24"/>
  <c r="AP269" i="24"/>
  <c r="AP250" i="24"/>
  <c r="AP223" i="24"/>
  <c r="AP255" i="24"/>
  <c r="AP287" i="24"/>
  <c r="AP310" i="24"/>
  <c r="AP258" i="24"/>
  <c r="AP235" i="24"/>
  <c r="AP299" i="24"/>
  <c r="W301" i="24"/>
  <c r="Y301" i="24" s="1"/>
  <c r="AP232" i="24"/>
  <c r="AP264" i="24"/>
  <c r="AP296" i="24"/>
  <c r="AP221" i="24"/>
  <c r="AP226" i="24"/>
  <c r="AP263" i="24"/>
  <c r="W234" i="24"/>
  <c r="Y234" i="24" s="1"/>
  <c r="W293" i="24"/>
  <c r="Y293" i="24" s="1"/>
  <c r="AP239" i="24"/>
  <c r="AP271" i="24"/>
  <c r="AP303" i="24"/>
  <c r="AP262" i="24"/>
  <c r="AP175" i="24"/>
  <c r="AP209" i="24"/>
  <c r="AP129" i="24"/>
  <c r="AP177" i="24"/>
  <c r="AP201" i="24"/>
  <c r="AP173" i="24"/>
  <c r="AP172" i="24"/>
  <c r="AP189" i="24"/>
  <c r="AP194" i="24"/>
  <c r="AP198" i="24"/>
  <c r="AP184" i="24"/>
  <c r="AP200" i="24"/>
  <c r="AP118" i="24"/>
  <c r="AP117" i="24"/>
  <c r="W233" i="24"/>
  <c r="Y233" i="24" s="1"/>
  <c r="AP192" i="24"/>
  <c r="AP208" i="24"/>
  <c r="AP179" i="24"/>
  <c r="AP191" i="24"/>
  <c r="AP233" i="24"/>
  <c r="AP168" i="24"/>
  <c r="AP181" i="24"/>
  <c r="AP246" i="24"/>
  <c r="AP190" i="24"/>
  <c r="AP167" i="24"/>
  <c r="AP188" i="24"/>
  <c r="AP204" i="24"/>
  <c r="AP298" i="24"/>
  <c r="AP183" i="24"/>
  <c r="W239" i="24"/>
  <c r="Y239" i="24" s="1"/>
  <c r="AP193" i="24"/>
  <c r="AP203" i="24"/>
  <c r="AP148" i="24"/>
  <c r="AP180" i="24"/>
  <c r="AP182" i="24"/>
  <c r="AP199" i="24"/>
  <c r="AP279" i="24"/>
  <c r="AP171" i="24"/>
  <c r="AP276" i="24"/>
  <c r="AP306" i="24"/>
  <c r="AP249" i="24"/>
  <c r="AP313" i="24"/>
  <c r="AP170" i="24"/>
  <c r="AP247" i="24"/>
  <c r="AP295" i="24"/>
  <c r="AP197" i="24"/>
  <c r="AP242" i="24"/>
  <c r="AP125" i="24"/>
  <c r="AP187" i="24"/>
  <c r="AP165" i="24"/>
  <c r="AP121" i="24"/>
  <c r="AP174" i="24"/>
  <c r="AP176" i="24"/>
  <c r="AP169" i="24"/>
  <c r="AP206" i="24"/>
  <c r="AP141" i="24"/>
  <c r="AP178" i="24"/>
  <c r="AP210" i="24"/>
  <c r="AP244" i="24"/>
  <c r="AP205" i="24"/>
  <c r="AP217" i="24"/>
  <c r="AP185" i="24"/>
  <c r="W271" i="24"/>
  <c r="Y271" i="24" s="1"/>
  <c r="AP196" i="24"/>
  <c r="AP166" i="24"/>
  <c r="AP202" i="24"/>
  <c r="AP229" i="24"/>
  <c r="AP261" i="24"/>
  <c r="AP154" i="24"/>
  <c r="AP186" i="24"/>
  <c r="AP207" i="24"/>
  <c r="AP195" i="24"/>
  <c r="AP292" i="24"/>
  <c r="AP119" i="24"/>
  <c r="AP218" i="24"/>
  <c r="AP130" i="24"/>
  <c r="AP220" i="24"/>
  <c r="AP316" i="24"/>
  <c r="AP227" i="24"/>
  <c r="AP291" i="24"/>
  <c r="AP256" i="24"/>
  <c r="AP133" i="24"/>
  <c r="AP293" i="24"/>
  <c r="AP282" i="24"/>
  <c r="AP267" i="24"/>
  <c r="AP278" i="24"/>
  <c r="AP231" i="24"/>
  <c r="AP311" i="24"/>
  <c r="W287" i="24"/>
  <c r="Y287" i="24" s="1"/>
  <c r="W268" i="24"/>
  <c r="Y268" i="24" s="1"/>
  <c r="W228" i="24"/>
  <c r="Y228" i="24" s="1"/>
  <c r="W229" i="24"/>
  <c r="Y229" i="24" s="1"/>
  <c r="W288" i="24"/>
  <c r="Y288" i="24" s="1"/>
  <c r="AP302" i="24"/>
  <c r="AP301" i="24"/>
  <c r="AP289" i="24"/>
  <c r="AP134" i="24"/>
  <c r="AP111" i="24"/>
  <c r="AP308" i="24"/>
  <c r="AP281" i="24"/>
  <c r="AP113" i="24"/>
  <c r="AP243" i="24"/>
  <c r="AP275" i="24"/>
  <c r="AP307" i="24"/>
  <c r="AP240" i="24"/>
  <c r="AP238" i="24"/>
  <c r="AP245" i="24"/>
  <c r="AP277" i="24"/>
  <c r="AP309" i="24"/>
  <c r="AP156" i="24"/>
  <c r="AP297" i="24"/>
  <c r="W266" i="24"/>
  <c r="Y266" i="24" s="1"/>
  <c r="AP219" i="24"/>
  <c r="AP251" i="24"/>
  <c r="AP283" i="24"/>
  <c r="AP315" i="24"/>
  <c r="AP222" i="24"/>
  <c r="AP116" i="24"/>
  <c r="AP253" i="24"/>
  <c r="AP285" i="24"/>
  <c r="AP162" i="24"/>
  <c r="AP234" i="24"/>
  <c r="AP314" i="24"/>
  <c r="AP236" i="24"/>
  <c r="AP268" i="24"/>
  <c r="AP300" i="24"/>
  <c r="AP225" i="24"/>
  <c r="AP257" i="24"/>
  <c r="AP158" i="24"/>
  <c r="AP136" i="24"/>
  <c r="AP147" i="24"/>
  <c r="AP260" i="24"/>
  <c r="AP254" i="24"/>
  <c r="AP294" i="24"/>
  <c r="AP248" i="24"/>
  <c r="AP280" i="24"/>
  <c r="AP312" i="24"/>
  <c r="AP139" i="24"/>
  <c r="AP114" i="24"/>
  <c r="AP145" i="24"/>
  <c r="AP140" i="24"/>
  <c r="AP163" i="24"/>
  <c r="AP124" i="24"/>
  <c r="AP272" i="24"/>
  <c r="AP304" i="24"/>
  <c r="AP290" i="24"/>
  <c r="AP161" i="24"/>
  <c r="AP137" i="24"/>
  <c r="W127" i="24"/>
  <c r="Y127" i="24" s="1"/>
  <c r="X127" i="24"/>
  <c r="AA127" i="24" s="1"/>
  <c r="AB127" i="24" s="1"/>
  <c r="AC127" i="24" s="1"/>
  <c r="AE127" i="24"/>
  <c r="AI127" i="24"/>
  <c r="V123" i="24"/>
  <c r="V199" i="24"/>
  <c r="V191" i="24"/>
  <c r="W121" i="24"/>
  <c r="Y121" i="24" s="1"/>
  <c r="X121" i="24"/>
  <c r="AA121" i="24" s="1"/>
  <c r="AB121" i="24" s="1"/>
  <c r="AC121" i="24" s="1"/>
  <c r="AE121" i="24"/>
  <c r="AI121" i="24"/>
  <c r="V310" i="24"/>
  <c r="W310" i="24"/>
  <c r="V131" i="24"/>
  <c r="W258" i="24"/>
  <c r="Y258" i="24" s="1"/>
  <c r="V173" i="24"/>
  <c r="W173" i="24"/>
  <c r="AE111" i="24"/>
  <c r="X111" i="24"/>
  <c r="AA111" i="24" s="1"/>
  <c r="AB111" i="24" s="1"/>
  <c r="AC111" i="24" s="1"/>
  <c r="AI111" i="24"/>
  <c r="X197" i="24"/>
  <c r="AA197" i="24" s="1"/>
  <c r="AB197" i="24" s="1"/>
  <c r="AC197" i="24" s="1"/>
  <c r="AE197" i="24"/>
  <c r="L100" i="23"/>
  <c r="M100" i="23" s="1"/>
  <c r="W219" i="24"/>
  <c r="Y219" i="24" s="1"/>
  <c r="AP144" i="24"/>
  <c r="AP160" i="24"/>
  <c r="AP126" i="24"/>
  <c r="AP143" i="24"/>
  <c r="X175" i="24"/>
  <c r="AA175" i="24" s="1"/>
  <c r="AB175" i="24" s="1"/>
  <c r="AC175" i="24" s="1"/>
  <c r="AJ175" i="24" s="1"/>
  <c r="AE175" i="24"/>
  <c r="AP146" i="24"/>
  <c r="W178" i="24"/>
  <c r="Y178" i="24" s="1"/>
  <c r="X178" i="24"/>
  <c r="AA178" i="24" s="1"/>
  <c r="AB178" i="24" s="1"/>
  <c r="AC178" i="24" s="1"/>
  <c r="AJ178" i="24" s="1"/>
  <c r="AE178" i="24"/>
  <c r="AP120" i="24"/>
  <c r="AP132" i="24"/>
  <c r="AP164" i="24"/>
  <c r="V201" i="24"/>
  <c r="AP151" i="24"/>
  <c r="AP123" i="24"/>
  <c r="AP155" i="24"/>
  <c r="AP150" i="24"/>
  <c r="V111" i="24"/>
  <c r="W111" i="24"/>
  <c r="X140" i="24"/>
  <c r="AA140" i="24" s="1"/>
  <c r="AB140" i="24" s="1"/>
  <c r="AC140" i="24" s="1"/>
  <c r="AJ140" i="24" s="1"/>
  <c r="AE140" i="24"/>
  <c r="V189" i="24"/>
  <c r="V194" i="24"/>
  <c r="AP135" i="24"/>
  <c r="V198" i="24"/>
  <c r="AP152" i="24"/>
  <c r="W138" i="24"/>
  <c r="Y138" i="24" s="1"/>
  <c r="AE138" i="24"/>
  <c r="X138" i="24"/>
  <c r="AA138" i="24" s="1"/>
  <c r="AB138" i="24" s="1"/>
  <c r="AC138" i="24" s="1"/>
  <c r="AJ138" i="24" s="1"/>
  <c r="V207" i="24"/>
  <c r="V195" i="24"/>
  <c r="V115" i="24"/>
  <c r="V128" i="24"/>
  <c r="W197" i="24"/>
  <c r="V197" i="24"/>
  <c r="AP142" i="24"/>
  <c r="V187" i="24"/>
  <c r="V124" i="24"/>
  <c r="W124" i="24"/>
  <c r="V156" i="24"/>
  <c r="W250" i="24"/>
  <c r="Y250" i="24" s="1"/>
  <c r="AE160" i="24"/>
  <c r="X160" i="24"/>
  <c r="AA160" i="24" s="1"/>
  <c r="AB160" i="24" s="1"/>
  <c r="AC160" i="24" s="1"/>
  <c r="AJ160" i="24" s="1"/>
  <c r="AE126" i="24"/>
  <c r="X126" i="24"/>
  <c r="AA126" i="24" s="1"/>
  <c r="AB126" i="24" s="1"/>
  <c r="AC126" i="24" s="1"/>
  <c r="AJ126" i="24" s="1"/>
  <c r="V193" i="24"/>
  <c r="V175" i="24"/>
  <c r="W175" i="24"/>
  <c r="V141" i="24"/>
  <c r="V165" i="24"/>
  <c r="W129" i="24"/>
  <c r="Y129" i="24" s="1"/>
  <c r="X129" i="24"/>
  <c r="AA129" i="24" s="1"/>
  <c r="AB129" i="24" s="1"/>
  <c r="AC129" i="24" s="1"/>
  <c r="AJ129" i="24" s="1"/>
  <c r="AE129" i="24"/>
  <c r="V203" i="24"/>
  <c r="W164" i="24"/>
  <c r="Y164" i="24" s="1"/>
  <c r="X164" i="24"/>
  <c r="AA164" i="24" s="1"/>
  <c r="AB164" i="24" s="1"/>
  <c r="AC164" i="24" s="1"/>
  <c r="AJ164" i="24" s="1"/>
  <c r="AE164" i="24"/>
  <c r="X180" i="24"/>
  <c r="AA180" i="24" s="1"/>
  <c r="AB180" i="24" s="1"/>
  <c r="AC180" i="24" s="1"/>
  <c r="AJ180" i="24" s="1"/>
  <c r="AE180" i="24"/>
  <c r="AP131" i="24"/>
  <c r="V140" i="24"/>
  <c r="W140" i="24"/>
  <c r="V172" i="24"/>
  <c r="W135" i="24"/>
  <c r="Y135" i="24" s="1"/>
  <c r="X135" i="24"/>
  <c r="AA135" i="24" s="1"/>
  <c r="AB135" i="24" s="1"/>
  <c r="AC135" i="24" s="1"/>
  <c r="AJ135" i="24" s="1"/>
  <c r="AE135" i="24"/>
  <c r="W202" i="24"/>
  <c r="Y202" i="24" s="1"/>
  <c r="X202" i="24"/>
  <c r="AA202" i="24" s="1"/>
  <c r="AB202" i="24" s="1"/>
  <c r="AC202" i="24" s="1"/>
  <c r="AJ202" i="24" s="1"/>
  <c r="AE202" i="24"/>
  <c r="AE200" i="24"/>
  <c r="X200" i="24"/>
  <c r="AA200" i="24" s="1"/>
  <c r="AB200" i="24" s="1"/>
  <c r="AC200" i="24" s="1"/>
  <c r="AJ200" i="24" s="1"/>
  <c r="AP157" i="24"/>
  <c r="AP112" i="24"/>
  <c r="V159" i="24"/>
  <c r="V133" i="24"/>
  <c r="V185" i="24"/>
  <c r="V167" i="24"/>
  <c r="V154" i="24"/>
  <c r="V186" i="24"/>
  <c r="V147" i="24"/>
  <c r="V125" i="24"/>
  <c r="V112" i="24"/>
  <c r="W251" i="24"/>
  <c r="Y251" i="24" s="1"/>
  <c r="V160" i="24"/>
  <c r="W160" i="24"/>
  <c r="V176" i="24"/>
  <c r="V192" i="24"/>
  <c r="V208" i="24"/>
  <c r="V126" i="24"/>
  <c r="W126" i="24"/>
  <c r="V169" i="24"/>
  <c r="V143" i="24"/>
  <c r="V116" i="24"/>
  <c r="V162" i="24"/>
  <c r="V179" i="24"/>
  <c r="V132" i="24"/>
  <c r="W180" i="24"/>
  <c r="V180" i="24"/>
  <c r="AP127" i="24"/>
  <c r="AE173" i="24"/>
  <c r="X173" i="24"/>
  <c r="AA173" i="24" s="1"/>
  <c r="AB173" i="24" s="1"/>
  <c r="AC173" i="24" s="1"/>
  <c r="AJ173" i="24" s="1"/>
  <c r="AP122" i="24"/>
  <c r="AP153" i="24"/>
  <c r="V158" i="24"/>
  <c r="V163" i="24"/>
  <c r="V113" i="24"/>
  <c r="V152" i="24"/>
  <c r="V200" i="24"/>
  <c r="W200" i="24"/>
  <c r="W118" i="24"/>
  <c r="Y118" i="24" s="1"/>
  <c r="AE118" i="24"/>
  <c r="X118" i="24"/>
  <c r="AA118" i="24" s="1"/>
  <c r="AB118" i="24" s="1"/>
  <c r="AC118" i="24" s="1"/>
  <c r="AJ118" i="24" s="1"/>
  <c r="V205" i="24"/>
  <c r="AE124" i="24"/>
  <c r="X124" i="24"/>
  <c r="AA124" i="24" s="1"/>
  <c r="AB124" i="24" s="1"/>
  <c r="AC124" i="24" s="1"/>
  <c r="AJ124" i="24" s="1"/>
  <c r="AP159" i="24"/>
  <c r="AP149" i="24"/>
  <c r="AP138" i="24"/>
  <c r="AP115" i="24"/>
  <c r="AP128" i="24"/>
  <c r="AI197" i="24"/>
  <c r="V183" i="24"/>
  <c r="W220" i="24"/>
  <c r="Y220" i="24" s="1"/>
  <c r="L24" i="23"/>
  <c r="M24" i="23" s="1"/>
  <c r="K42" i="23"/>
  <c r="M42" i="23" s="1"/>
  <c r="K66" i="23"/>
  <c r="M66" i="23" s="1"/>
  <c r="K74" i="23"/>
  <c r="M74" i="23" s="1"/>
  <c r="X245" i="24"/>
  <c r="AA245" i="24" s="1"/>
  <c r="AB245" i="24" s="1"/>
  <c r="AC245" i="24" s="1"/>
  <c r="AE245" i="24"/>
  <c r="AI245" i="24"/>
  <c r="AI307" i="24"/>
  <c r="AE307" i="24"/>
  <c r="X307" i="24"/>
  <c r="AA307" i="24" s="1"/>
  <c r="AB307" i="24" s="1"/>
  <c r="AC307" i="24" s="1"/>
  <c r="V284" i="24"/>
  <c r="V227" i="24"/>
  <c r="W227" i="24"/>
  <c r="AE302" i="24"/>
  <c r="AI302" i="24"/>
  <c r="X302" i="24"/>
  <c r="AA302" i="24" s="1"/>
  <c r="AB302" i="24" s="1"/>
  <c r="AC302" i="24" s="1"/>
  <c r="W297" i="24"/>
  <c r="Y297" i="24" s="1"/>
  <c r="AI297" i="24"/>
  <c r="AE297" i="24"/>
  <c r="X297" i="24"/>
  <c r="AA297" i="24" s="1"/>
  <c r="AB297" i="24" s="1"/>
  <c r="AC297" i="24" s="1"/>
  <c r="V279" i="24"/>
  <c r="W279" i="24"/>
  <c r="V296" i="24"/>
  <c r="V245" i="24"/>
  <c r="W245" i="24"/>
  <c r="AE240" i="24"/>
  <c r="AI240" i="24"/>
  <c r="X240" i="24"/>
  <c r="AA240" i="24" s="1"/>
  <c r="AB240" i="24" s="1"/>
  <c r="AC240" i="24" s="1"/>
  <c r="AI259" i="24"/>
  <c r="AE259" i="24"/>
  <c r="X259" i="24"/>
  <c r="AA259" i="24" s="1"/>
  <c r="AB259" i="24" s="1"/>
  <c r="AC259" i="24" s="1"/>
  <c r="AE223" i="24"/>
  <c r="AI223" i="24"/>
  <c r="X223" i="24"/>
  <c r="AA223" i="24" s="1"/>
  <c r="AB223" i="24" s="1"/>
  <c r="AC223" i="24" s="1"/>
  <c r="AI264" i="24"/>
  <c r="AE264" i="24"/>
  <c r="X264" i="24"/>
  <c r="AA264" i="24" s="1"/>
  <c r="AB264" i="24" s="1"/>
  <c r="AC264" i="24" s="1"/>
  <c r="AE273" i="24"/>
  <c r="AI273" i="24"/>
  <c r="X273" i="24"/>
  <c r="AA273" i="24" s="1"/>
  <c r="AB273" i="24" s="1"/>
  <c r="AC273" i="24" s="1"/>
  <c r="V231" i="24"/>
  <c r="AE222" i="24"/>
  <c r="AI222" i="24"/>
  <c r="X222" i="24"/>
  <c r="AA222" i="24" s="1"/>
  <c r="AB222" i="24" s="1"/>
  <c r="AC222" i="24" s="1"/>
  <c r="AI243" i="24"/>
  <c r="AE243" i="24"/>
  <c r="X243" i="24"/>
  <c r="AA243" i="24" s="1"/>
  <c r="AB243" i="24" s="1"/>
  <c r="AC243" i="24" s="1"/>
  <c r="V312" i="24"/>
  <c r="V270" i="24"/>
  <c r="AI293" i="24"/>
  <c r="AE293" i="24"/>
  <c r="X293" i="24"/>
  <c r="AA293" i="24" s="1"/>
  <c r="AB293" i="24" s="1"/>
  <c r="AC293" i="24" s="1"/>
  <c r="V304" i="24"/>
  <c r="W304" i="24"/>
  <c r="AE301" i="24"/>
  <c r="AI301" i="24"/>
  <c r="X301" i="24"/>
  <c r="AA301" i="24" s="1"/>
  <c r="AB301" i="24" s="1"/>
  <c r="AC301" i="24" s="1"/>
  <c r="W307" i="24"/>
  <c r="Y307" i="24" s="1"/>
  <c r="AI241" i="24"/>
  <c r="AE241" i="24"/>
  <c r="X241" i="24"/>
  <c r="AA241" i="24" s="1"/>
  <c r="AB241" i="24" s="1"/>
  <c r="AC241" i="24" s="1"/>
  <c r="AE279" i="24"/>
  <c r="AI279" i="24"/>
  <c r="X279" i="24"/>
  <c r="AA279" i="24" s="1"/>
  <c r="AB279" i="24" s="1"/>
  <c r="AC279" i="24" s="1"/>
  <c r="AE236" i="24"/>
  <c r="AI236" i="24"/>
  <c r="X236" i="24"/>
  <c r="AA236" i="24" s="1"/>
  <c r="AB236" i="24" s="1"/>
  <c r="AC236" i="24" s="1"/>
  <c r="AE224" i="24"/>
  <c r="AI224" i="24"/>
  <c r="X224" i="24"/>
  <c r="AA224" i="24" s="1"/>
  <c r="AB224" i="24" s="1"/>
  <c r="AC224" i="24" s="1"/>
  <c r="V294" i="24"/>
  <c r="W294" i="24"/>
  <c r="V246" i="24"/>
  <c r="W236" i="24"/>
  <c r="Y236" i="24" s="1"/>
  <c r="W259" i="24"/>
  <c r="Y259" i="24" s="1"/>
  <c r="W273" i="24"/>
  <c r="Y273" i="24" s="1"/>
  <c r="AE285" i="24"/>
  <c r="AI285" i="24"/>
  <c r="X285" i="24"/>
  <c r="AA285" i="24" s="1"/>
  <c r="AB285" i="24" s="1"/>
  <c r="AC285" i="24" s="1"/>
  <c r="V316" i="24"/>
  <c r="W316" i="24"/>
  <c r="V276" i="24"/>
  <c r="V223" i="24"/>
  <c r="W223" i="24"/>
  <c r="V254" i="24"/>
  <c r="W254" i="24"/>
  <c r="V232" i="24"/>
  <c r="V309" i="24"/>
  <c r="W309" i="24"/>
  <c r="V314" i="24"/>
  <c r="W314" i="24"/>
  <c r="AI251" i="24"/>
  <c r="AE251" i="24"/>
  <c r="X251" i="24"/>
  <c r="AA251" i="24" s="1"/>
  <c r="AB251" i="24" s="1"/>
  <c r="AC251" i="24" s="1"/>
  <c r="AE216" i="24"/>
  <c r="AI216" i="24"/>
  <c r="X216" i="24"/>
  <c r="AA216" i="24" s="1"/>
  <c r="AB216" i="24" s="1"/>
  <c r="AC216" i="24" s="1"/>
  <c r="AI220" i="24"/>
  <c r="AE220" i="24"/>
  <c r="X220" i="24"/>
  <c r="AA220" i="24" s="1"/>
  <c r="AB220" i="24" s="1"/>
  <c r="AC220" i="24" s="1"/>
  <c r="AI287" i="24"/>
  <c r="AE287" i="24"/>
  <c r="X287" i="24"/>
  <c r="AA287" i="24" s="1"/>
  <c r="AB287" i="24" s="1"/>
  <c r="AC287" i="24" s="1"/>
  <c r="AI266" i="24"/>
  <c r="AE266" i="24"/>
  <c r="X266" i="24"/>
  <c r="AA266" i="24" s="1"/>
  <c r="AB266" i="24" s="1"/>
  <c r="AC266" i="24" s="1"/>
  <c r="V256" i="24"/>
  <c r="W256" i="24"/>
  <c r="AE316" i="24"/>
  <c r="AI316" i="24"/>
  <c r="X316" i="24"/>
  <c r="AA316" i="24" s="1"/>
  <c r="AB316" i="24" s="1"/>
  <c r="AC316" i="24" s="1"/>
  <c r="AI274" i="24"/>
  <c r="AE274" i="24"/>
  <c r="X274" i="24"/>
  <c r="AA274" i="24" s="1"/>
  <c r="AB274" i="24" s="1"/>
  <c r="AC274" i="24" s="1"/>
  <c r="AE254" i="24"/>
  <c r="AI254" i="24"/>
  <c r="X254" i="24"/>
  <c r="AA254" i="24" s="1"/>
  <c r="AB254" i="24" s="1"/>
  <c r="AC254" i="24" s="1"/>
  <c r="AE268" i="24"/>
  <c r="AI268" i="24"/>
  <c r="X268" i="24"/>
  <c r="AA268" i="24" s="1"/>
  <c r="AB268" i="24" s="1"/>
  <c r="AC268" i="24" s="1"/>
  <c r="AI219" i="24"/>
  <c r="AE219" i="24"/>
  <c r="X219" i="24"/>
  <c r="AA219" i="24" s="1"/>
  <c r="AB219" i="24" s="1"/>
  <c r="AC219" i="24" s="1"/>
  <c r="W274" i="24"/>
  <c r="V274" i="24"/>
  <c r="AI286" i="24"/>
  <c r="AE286" i="24"/>
  <c r="X286" i="24"/>
  <c r="AA286" i="24" s="1"/>
  <c r="AB286" i="24" s="1"/>
  <c r="AC286" i="24" s="1"/>
  <c r="AE235" i="24"/>
  <c r="AI235" i="24"/>
  <c r="X235" i="24"/>
  <c r="AA235" i="24" s="1"/>
  <c r="AB235" i="24" s="1"/>
  <c r="AC235" i="24" s="1"/>
  <c r="AE221" i="24"/>
  <c r="AI221" i="24"/>
  <c r="X221" i="24"/>
  <c r="AA221" i="24" s="1"/>
  <c r="AB221" i="24" s="1"/>
  <c r="AC221" i="24" s="1"/>
  <c r="V286" i="24"/>
  <c r="W286" i="24"/>
  <c r="V267" i="24"/>
  <c r="W243" i="24"/>
  <c r="V243" i="24"/>
  <c r="AI288" i="24"/>
  <c r="AE288" i="24"/>
  <c r="X288" i="24"/>
  <c r="AA288" i="24" s="1"/>
  <c r="AB288" i="24" s="1"/>
  <c r="AC288" i="24" s="1"/>
  <c r="X292" i="24"/>
  <c r="AA292" i="24" s="1"/>
  <c r="AB292" i="24" s="1"/>
  <c r="AC292" i="24" s="1"/>
  <c r="AI292" i="24"/>
  <c r="AE292" i="24"/>
  <c r="W240" i="24"/>
  <c r="Y240" i="24" s="1"/>
  <c r="AI250" i="24"/>
  <c r="AE250" i="24"/>
  <c r="X250" i="24"/>
  <c r="AA250" i="24" s="1"/>
  <c r="AB250" i="24" s="1"/>
  <c r="AC250" i="24" s="1"/>
  <c r="V262" i="24"/>
  <c r="V306" i="24"/>
  <c r="V300" i="24"/>
  <c r="W300" i="24"/>
  <c r="V247" i="24"/>
  <c r="W247" i="24"/>
  <c r="V264" i="24"/>
  <c r="W264" i="24"/>
  <c r="V235" i="24"/>
  <c r="W235" i="24"/>
  <c r="AE228" i="24"/>
  <c r="AI228" i="24"/>
  <c r="X228" i="24"/>
  <c r="AA228" i="24" s="1"/>
  <c r="AB228" i="24" s="1"/>
  <c r="AC228" i="24" s="1"/>
  <c r="V237" i="24"/>
  <c r="AE218" i="24"/>
  <c r="AI218" i="24"/>
  <c r="X218" i="24"/>
  <c r="AA218" i="24" s="1"/>
  <c r="AB218" i="24" s="1"/>
  <c r="AC218" i="24" s="1"/>
  <c r="X300" i="24"/>
  <c r="AA300" i="24" s="1"/>
  <c r="AB300" i="24" s="1"/>
  <c r="AC300" i="24" s="1"/>
  <c r="AI300" i="24"/>
  <c r="AE300" i="24"/>
  <c r="K58" i="23"/>
  <c r="M58" i="23" s="1"/>
  <c r="AE315" i="24"/>
  <c r="AI315" i="24"/>
  <c r="X315" i="24"/>
  <c r="AA315" i="24" s="1"/>
  <c r="AB315" i="24" s="1"/>
  <c r="AC315" i="24" s="1"/>
  <c r="AI271" i="24"/>
  <c r="AE271" i="24"/>
  <c r="X271" i="24"/>
  <c r="AA271" i="24" s="1"/>
  <c r="AB271" i="24" s="1"/>
  <c r="AC271" i="24" s="1"/>
  <c r="AE314" i="24"/>
  <c r="AI314" i="24"/>
  <c r="X314" i="24"/>
  <c r="AA314" i="24" s="1"/>
  <c r="AB314" i="24" s="1"/>
  <c r="AC314" i="24" s="1"/>
  <c r="AI234" i="24"/>
  <c r="AE234" i="24"/>
  <c r="X234" i="24"/>
  <c r="AA234" i="24" s="1"/>
  <c r="AB234" i="24" s="1"/>
  <c r="AC234" i="24" s="1"/>
  <c r="V308" i="24"/>
  <c r="V255" i="24"/>
  <c r="AE247" i="24"/>
  <c r="AI247" i="24"/>
  <c r="X247" i="24"/>
  <c r="AA247" i="24" s="1"/>
  <c r="AB247" i="24" s="1"/>
  <c r="AC247" i="24" s="1"/>
  <c r="AE309" i="24"/>
  <c r="AI309" i="24"/>
  <c r="X309" i="24"/>
  <c r="AA309" i="24" s="1"/>
  <c r="AB309" i="24" s="1"/>
  <c r="AC309" i="24" s="1"/>
  <c r="AI256" i="24"/>
  <c r="AE256" i="24"/>
  <c r="X256" i="24"/>
  <c r="AA256" i="24" s="1"/>
  <c r="AB256" i="24" s="1"/>
  <c r="AC256" i="24" s="1"/>
  <c r="W224" i="24"/>
  <c r="Y224" i="24" s="1"/>
  <c r="W241" i="24"/>
  <c r="Y241" i="24" s="1"/>
  <c r="W292" i="24"/>
  <c r="Y292" i="24" s="1"/>
  <c r="AI272" i="24"/>
  <c r="AE272" i="24"/>
  <c r="X272" i="24"/>
  <c r="AA272" i="24" s="1"/>
  <c r="AB272" i="24" s="1"/>
  <c r="AC272" i="24" s="1"/>
  <c r="V244" i="24"/>
  <c r="V302" i="24"/>
  <c r="W302" i="24"/>
  <c r="V222" i="24"/>
  <c r="W222" i="24"/>
  <c r="V299" i="24"/>
  <c r="V261" i="24"/>
  <c r="V218" i="24"/>
  <c r="W218" i="24"/>
  <c r="AE230" i="24"/>
  <c r="AI230" i="24"/>
  <c r="X230" i="24"/>
  <c r="AA230" i="24" s="1"/>
  <c r="AB230" i="24" s="1"/>
  <c r="AC230" i="24" s="1"/>
  <c r="AE258" i="24"/>
  <c r="AI258" i="24"/>
  <c r="X258" i="24"/>
  <c r="AA258" i="24" s="1"/>
  <c r="AB258" i="24" s="1"/>
  <c r="AC258" i="24" s="1"/>
  <c r="AI303" i="24"/>
  <c r="AE303" i="24"/>
  <c r="X303" i="24"/>
  <c r="AA303" i="24" s="1"/>
  <c r="AB303" i="24" s="1"/>
  <c r="AC303" i="24" s="1"/>
  <c r="W275" i="24"/>
  <c r="Y275" i="24" s="1"/>
  <c r="AI275" i="24"/>
  <c r="AE275" i="24"/>
  <c r="X275" i="24"/>
  <c r="AA275" i="24" s="1"/>
  <c r="AB275" i="24" s="1"/>
  <c r="AC275" i="24" s="1"/>
  <c r="AE233" i="24"/>
  <c r="AI233" i="24"/>
  <c r="X233" i="24"/>
  <c r="AA233" i="24" s="1"/>
  <c r="AB233" i="24" s="1"/>
  <c r="AC233" i="24" s="1"/>
  <c r="AE229" i="24"/>
  <c r="AI229" i="24"/>
  <c r="X229" i="24"/>
  <c r="AA229" i="24" s="1"/>
  <c r="AB229" i="24" s="1"/>
  <c r="AC229" i="24" s="1"/>
  <c r="AE304" i="24"/>
  <c r="AI304" i="24"/>
  <c r="X304" i="24"/>
  <c r="AA304" i="24" s="1"/>
  <c r="AB304" i="24" s="1"/>
  <c r="AC304" i="24" s="1"/>
  <c r="AI239" i="24"/>
  <c r="AE239" i="24"/>
  <c r="X239" i="24"/>
  <c r="AA239" i="24" s="1"/>
  <c r="AB239" i="24" s="1"/>
  <c r="AC239" i="24" s="1"/>
  <c r="AE310" i="24"/>
  <c r="AI310" i="24"/>
  <c r="X310" i="24"/>
  <c r="AA310" i="24" s="1"/>
  <c r="AB310" i="24" s="1"/>
  <c r="AC310" i="24" s="1"/>
  <c r="AE294" i="24"/>
  <c r="AI294" i="24"/>
  <c r="X294" i="24"/>
  <c r="AA294" i="24" s="1"/>
  <c r="AB294" i="24" s="1"/>
  <c r="AC294" i="24" s="1"/>
  <c r="W230" i="24"/>
  <c r="Y230" i="24" s="1"/>
  <c r="W216" i="24"/>
  <c r="Y216" i="24" s="1"/>
  <c r="W285" i="24"/>
  <c r="Y285" i="24" s="1"/>
  <c r="W221" i="24"/>
  <c r="Y221" i="24" s="1"/>
  <c r="AE227" i="24"/>
  <c r="AI227" i="24"/>
  <c r="X227" i="24"/>
  <c r="AA227" i="24" s="1"/>
  <c r="AB227" i="24" s="1"/>
  <c r="AC227" i="24" s="1"/>
  <c r="W272" i="24"/>
  <c r="Y272" i="24" s="1"/>
  <c r="AP60" i="24"/>
  <c r="AP41" i="24"/>
  <c r="AP40" i="24"/>
  <c r="AP63" i="24"/>
  <c r="AP72" i="24"/>
  <c r="AP64" i="24"/>
  <c r="AP83" i="24"/>
  <c r="AP27" i="24"/>
  <c r="AP101" i="24"/>
  <c r="AP42" i="24"/>
  <c r="AP56" i="24"/>
  <c r="AP46" i="24"/>
  <c r="AP18" i="24"/>
  <c r="AP10" i="24"/>
  <c r="AP79" i="24"/>
  <c r="AP55" i="24"/>
  <c r="AP54" i="24"/>
  <c r="AP91" i="24"/>
  <c r="AP87" i="24"/>
  <c r="AP59" i="24"/>
  <c r="AP36" i="24"/>
  <c r="AP105" i="24"/>
  <c r="AP28" i="24"/>
  <c r="V14" i="24"/>
  <c r="V48" i="24"/>
  <c r="V18" i="24"/>
  <c r="V73" i="24"/>
  <c r="V76" i="24"/>
  <c r="V60" i="24"/>
  <c r="V47" i="24"/>
  <c r="V40" i="24"/>
  <c r="V10" i="24"/>
  <c r="V83" i="24"/>
  <c r="V6" i="24"/>
  <c r="V54" i="24"/>
  <c r="V43" i="24"/>
  <c r="V91" i="24"/>
  <c r="V20" i="24"/>
  <c r="V35" i="24"/>
  <c r="V19" i="24"/>
  <c r="V26" i="24"/>
  <c r="V95" i="24"/>
  <c r="V104" i="24"/>
  <c r="V46" i="24"/>
  <c r="V92" i="24"/>
  <c r="V90" i="24"/>
  <c r="V50" i="24"/>
  <c r="V7" i="24"/>
  <c r="V103" i="24"/>
  <c r="V64" i="24"/>
  <c r="V78" i="24"/>
  <c r="V9" i="24"/>
  <c r="V38" i="24"/>
  <c r="V27" i="24"/>
  <c r="V75" i="24"/>
  <c r="V100" i="24"/>
  <c r="V41" i="24"/>
  <c r="V15" i="24"/>
  <c r="V74" i="24"/>
  <c r="V31" i="24"/>
  <c r="V79" i="24"/>
  <c r="V8" i="24"/>
  <c r="V88" i="24"/>
  <c r="V45" i="24"/>
  <c r="V30" i="24"/>
  <c r="V13" i="24"/>
  <c r="V24" i="24"/>
  <c r="K93" i="23"/>
  <c r="M93" i="23" s="1"/>
  <c r="V23" i="24"/>
  <c r="V85" i="24"/>
  <c r="V82" i="24"/>
  <c r="V62" i="24"/>
  <c r="V86" i="24"/>
  <c r="V93" i="24"/>
  <c r="V34" i="24"/>
  <c r="V53" i="24"/>
  <c r="V39" i="24"/>
  <c r="V87" i="24"/>
  <c r="V16" i="24"/>
  <c r="V96" i="24"/>
  <c r="V57" i="24"/>
  <c r="V52" i="24"/>
  <c r="V84" i="24"/>
  <c r="V33" i="24"/>
  <c r="V12" i="24"/>
  <c r="V58" i="24"/>
  <c r="W5" i="24"/>
  <c r="V5" i="24"/>
  <c r="V63" i="24"/>
  <c r="V72" i="24"/>
  <c r="V81" i="24"/>
  <c r="L57" i="23"/>
  <c r="M57" i="23" s="1"/>
  <c r="V66" i="24"/>
  <c r="V105" i="24"/>
  <c r="V28" i="24"/>
  <c r="V94" i="24"/>
  <c r="V71" i="24"/>
  <c r="V29" i="24"/>
  <c r="V21" i="24"/>
  <c r="V61" i="24"/>
  <c r="V77" i="24"/>
  <c r="V37" i="24"/>
  <c r="V68" i="24"/>
  <c r="V99" i="24"/>
  <c r="V25" i="24"/>
  <c r="V42" i="24"/>
  <c r="V67" i="24"/>
  <c r="V49" i="24"/>
  <c r="L72" i="23"/>
  <c r="M72" i="23" s="1"/>
  <c r="K65" i="23"/>
  <c r="M65" i="23" s="1"/>
  <c r="L95" i="23"/>
  <c r="M95" i="23" s="1"/>
  <c r="M11" i="23"/>
  <c r="M99" i="23"/>
  <c r="M27" i="23"/>
  <c r="M19" i="23"/>
  <c r="M56" i="23"/>
  <c r="M8" i="23"/>
  <c r="M87" i="23"/>
  <c r="M55" i="23"/>
  <c r="M75" i="23"/>
  <c r="M12" i="23"/>
  <c r="M47" i="23"/>
  <c r="M43" i="23"/>
  <c r="M6" i="23"/>
  <c r="L97" i="23"/>
  <c r="M97" i="23" s="1"/>
  <c r="K83" i="23"/>
  <c r="M83" i="23" s="1"/>
  <c r="M98" i="23"/>
  <c r="M62" i="23"/>
  <c r="M46" i="23"/>
  <c r="M76" i="23"/>
  <c r="M78" i="23"/>
  <c r="M54" i="23"/>
  <c r="M81" i="23"/>
  <c r="M85" i="23"/>
  <c r="M50" i="23"/>
  <c r="M53" i="23"/>
  <c r="M101" i="23"/>
  <c r="M45" i="23"/>
  <c r="M34" i="23"/>
  <c r="M36" i="23"/>
  <c r="M28" i="23"/>
  <c r="M9" i="23"/>
  <c r="M33" i="23"/>
  <c r="M30" i="23"/>
  <c r="M90" i="23"/>
  <c r="M10" i="23"/>
  <c r="M94" i="23"/>
  <c r="M68" i="23"/>
  <c r="M70" i="23"/>
  <c r="M106" i="23"/>
  <c r="M41" i="23"/>
  <c r="M37" i="23"/>
  <c r="M44" i="23"/>
  <c r="M32" i="23"/>
  <c r="M23" i="23"/>
  <c r="M48" i="23"/>
  <c r="M64" i="23"/>
  <c r="M15" i="23"/>
  <c r="M40" i="23"/>
  <c r="M80" i="23"/>
  <c r="M31" i="23"/>
  <c r="M91" i="23"/>
  <c r="M7" i="23"/>
  <c r="M96" i="23"/>
  <c r="M51" i="23"/>
  <c r="M71" i="23"/>
  <c r="M39" i="23"/>
  <c r="M79" i="23"/>
  <c r="M104" i="23"/>
  <c r="M59" i="23"/>
  <c r="M16" i="23"/>
  <c r="M35" i="23"/>
  <c r="M18" i="23"/>
  <c r="M105" i="23"/>
  <c r="M86" i="23"/>
  <c r="M52" i="23"/>
  <c r="M89" i="23"/>
  <c r="M38" i="23"/>
  <c r="M25" i="23"/>
  <c r="M61" i="23"/>
  <c r="M82" i="23"/>
  <c r="M14" i="23"/>
  <c r="M29" i="23"/>
  <c r="M69" i="23"/>
  <c r="M17" i="23"/>
  <c r="M21" i="23"/>
  <c r="M22" i="23"/>
  <c r="M92" i="23"/>
  <c r="M73" i="23"/>
  <c r="M13" i="23"/>
  <c r="M102" i="23"/>
  <c r="M26" i="23"/>
  <c r="B196" i="2"/>
  <c r="A237" i="2"/>
  <c r="D42" i="16"/>
  <c r="B197" i="2"/>
  <c r="D43" i="16"/>
  <c r="CC5" i="25" l="1"/>
  <c r="CC6" i="25"/>
  <c r="CC7" i="25"/>
  <c r="CC35" i="25"/>
  <c r="CC80" i="25"/>
  <c r="CC93" i="25"/>
  <c r="CC52" i="25"/>
  <c r="CC49" i="25"/>
  <c r="CC58" i="25"/>
  <c r="CC29" i="25"/>
  <c r="CC31" i="25"/>
  <c r="CC104" i="25"/>
  <c r="CC42" i="25"/>
  <c r="CC62" i="25"/>
  <c r="CC19" i="25"/>
  <c r="CC105" i="25"/>
  <c r="CC66" i="25"/>
  <c r="CC43" i="25"/>
  <c r="CC14" i="25"/>
  <c r="CC45" i="25"/>
  <c r="CC56" i="25"/>
  <c r="CC86" i="25"/>
  <c r="CC57" i="25"/>
  <c r="CC91" i="25"/>
  <c r="CC21" i="25"/>
  <c r="CC39" i="25"/>
  <c r="CC101" i="25"/>
  <c r="CC36" i="25"/>
  <c r="CC73" i="25"/>
  <c r="CC18" i="25"/>
  <c r="CC53" i="25"/>
  <c r="CC60" i="25"/>
  <c r="CC90" i="25"/>
  <c r="CC61" i="25"/>
  <c r="CC51" i="25"/>
  <c r="CC92" i="25"/>
  <c r="CC69" i="25"/>
  <c r="CC55" i="25"/>
  <c r="CC63" i="25"/>
  <c r="CC12" i="25"/>
  <c r="CC28" i="25"/>
  <c r="CC32" i="25"/>
  <c r="CC20" i="25"/>
  <c r="CC10" i="25"/>
  <c r="CC79" i="25"/>
  <c r="CC48" i="25"/>
  <c r="CC33" i="25"/>
  <c r="CC16" i="25"/>
  <c r="CC9" i="25"/>
  <c r="CC59" i="25"/>
  <c r="CC38" i="25"/>
  <c r="CC24" i="25"/>
  <c r="CC54" i="25"/>
  <c r="CC11" i="25"/>
  <c r="CC15" i="25"/>
  <c r="CC83" i="25"/>
  <c r="CC100" i="25"/>
  <c r="CC22" i="25"/>
  <c r="CC64" i="25"/>
  <c r="CC65" i="25"/>
  <c r="CC97" i="25"/>
  <c r="CC26" i="25"/>
  <c r="CC68" i="25"/>
  <c r="CC50" i="25"/>
  <c r="CC40" i="25"/>
  <c r="CC70" i="25"/>
  <c r="CC25" i="25"/>
  <c r="CC27" i="25"/>
  <c r="CC78" i="25"/>
  <c r="CC81" i="25"/>
  <c r="CC75" i="25"/>
  <c r="CC30" i="25"/>
  <c r="CC72" i="25"/>
  <c r="CC77" i="25"/>
  <c r="CC95" i="25"/>
  <c r="CC8" i="25"/>
  <c r="CC71" i="25"/>
  <c r="CC41" i="25"/>
  <c r="CC82" i="25"/>
  <c r="CC23" i="25"/>
  <c r="CC34" i="25"/>
  <c r="CC76" i="25"/>
  <c r="CC85" i="25"/>
  <c r="CC96" i="25"/>
  <c r="CC13" i="25"/>
  <c r="CC87" i="25"/>
  <c r="CC17" i="25"/>
  <c r="CC37" i="25"/>
  <c r="CC88" i="25"/>
  <c r="CC99" i="25"/>
  <c r="CB153" i="24"/>
  <c r="CC110" i="24"/>
  <c r="CC216" i="24"/>
  <c r="CC242" i="24"/>
  <c r="CC281" i="24"/>
  <c r="CC254" i="24"/>
  <c r="CC137" i="24"/>
  <c r="CC122" i="24"/>
  <c r="CC172" i="24"/>
  <c r="CC226" i="24"/>
  <c r="CC277" i="24"/>
  <c r="CC238" i="24"/>
  <c r="CC133" i="24"/>
  <c r="CC217" i="24"/>
  <c r="CC291" i="24"/>
  <c r="CC121" i="24"/>
  <c r="CC131" i="24"/>
  <c r="CC305" i="24"/>
  <c r="CC241" i="24"/>
  <c r="CC278" i="24"/>
  <c r="CC316" i="24"/>
  <c r="CC252" i="24"/>
  <c r="CC151" i="24"/>
  <c r="CC271" i="24"/>
  <c r="CC294" i="24"/>
  <c r="CC158" i="24"/>
  <c r="CC265" i="24"/>
  <c r="CC276" i="24"/>
  <c r="CC298" i="24"/>
  <c r="CC115" i="24"/>
  <c r="CC140" i="24"/>
  <c r="CC293" i="24"/>
  <c r="CC288" i="24"/>
  <c r="CC159" i="24"/>
  <c r="CC184" i="24"/>
  <c r="CC310" i="24"/>
  <c r="CC285" i="24"/>
  <c r="CC221" i="24"/>
  <c r="CC296" i="24"/>
  <c r="CC232" i="24"/>
  <c r="CC143" i="24"/>
  <c r="CC315" i="24"/>
  <c r="CC251" i="24"/>
  <c r="CC174" i="24"/>
  <c r="CC197" i="24"/>
  <c r="CC260" i="24"/>
  <c r="CC258" i="24"/>
  <c r="CC189" i="24"/>
  <c r="CC188" i="24"/>
  <c r="CC279" i="24"/>
  <c r="CC273" i="24"/>
  <c r="CC274" i="24"/>
  <c r="CC303" i="24"/>
  <c r="CC239" i="24"/>
  <c r="CC202" i="24"/>
  <c r="CC142" i="24"/>
  <c r="CC306" i="24"/>
  <c r="CC153" i="24"/>
  <c r="CC128" i="24"/>
  <c r="CC161" i="24"/>
  <c r="CC156" i="24"/>
  <c r="CC263" i="24"/>
  <c r="CC117" i="24"/>
  <c r="CC229" i="24"/>
  <c r="CC224" i="24"/>
  <c r="CC275" i="24"/>
  <c r="CC141" i="24"/>
  <c r="CC264" i="24"/>
  <c r="CC175" i="24"/>
  <c r="CC113" i="24"/>
  <c r="CC249" i="24"/>
  <c r="CC292" i="24"/>
  <c r="CC135" i="24"/>
  <c r="CC311" i="24"/>
  <c r="CC195" i="24"/>
  <c r="CC245" i="24"/>
  <c r="CC304" i="24"/>
  <c r="CC246" i="24"/>
  <c r="CC181" i="24"/>
  <c r="CC200" i="24"/>
  <c r="CC259" i="24"/>
  <c r="CC262" i="24"/>
  <c r="CC182" i="24"/>
  <c r="CC289" i="24"/>
  <c r="CC225" i="24"/>
  <c r="CC230" i="24"/>
  <c r="CC300" i="24"/>
  <c r="CC236" i="24"/>
  <c r="CC314" i="24"/>
  <c r="CC210" i="24"/>
  <c r="CC130" i="24"/>
  <c r="CC196" i="24"/>
  <c r="CC164" i="24"/>
  <c r="CC132" i="24"/>
  <c r="CC255" i="24"/>
  <c r="CC187" i="24"/>
  <c r="CC233" i="24"/>
  <c r="CC244" i="24"/>
  <c r="CC295" i="24"/>
  <c r="CC282" i="24"/>
  <c r="CC261" i="24"/>
  <c r="CC256" i="24"/>
  <c r="CC286" i="24"/>
  <c r="CC205" i="24"/>
  <c r="CC307" i="24"/>
  <c r="CC129" i="24"/>
  <c r="CC250" i="24"/>
  <c r="CC178" i="24"/>
  <c r="CC146" i="24"/>
  <c r="CC269" i="24"/>
  <c r="CC116" i="24"/>
  <c r="CC165" i="24"/>
  <c r="CC280" i="24"/>
  <c r="CC302" i="24"/>
  <c r="CC206" i="24"/>
  <c r="CC193" i="24"/>
  <c r="CC126" i="24"/>
  <c r="CC192" i="24"/>
  <c r="CC299" i="24"/>
  <c r="CC235" i="24"/>
  <c r="CC185" i="24"/>
  <c r="CC272" i="24"/>
  <c r="CC227" i="24"/>
  <c r="CC191" i="24"/>
  <c r="CC284" i="24"/>
  <c r="CC220" i="24"/>
  <c r="CC152" i="24"/>
  <c r="CC218" i="24"/>
  <c r="CC253" i="24"/>
  <c r="CC163" i="24"/>
  <c r="CC183" i="24"/>
  <c r="CC112" i="24"/>
  <c r="CC111" i="24"/>
  <c r="CC127" i="24"/>
  <c r="CC148" i="24"/>
  <c r="CC186" i="24"/>
  <c r="CC290" i="24"/>
  <c r="CC243" i="24"/>
  <c r="CC301" i="24"/>
  <c r="CC312" i="24"/>
  <c r="CC270" i="24"/>
  <c r="CC119" i="24"/>
  <c r="CC144" i="24"/>
  <c r="CC309" i="24"/>
  <c r="CC155" i="24"/>
  <c r="CC234" i="24"/>
  <c r="CC308" i="24"/>
  <c r="CC118" i="24"/>
  <c r="CC237" i="24"/>
  <c r="CC248" i="24"/>
  <c r="CC222" i="24"/>
  <c r="CC176" i="24"/>
  <c r="CC283" i="24"/>
  <c r="CC313" i="24"/>
  <c r="CC247" i="24"/>
  <c r="CC240" i="24"/>
  <c r="CC134" i="24"/>
  <c r="CC145" i="24"/>
  <c r="CC114" i="24"/>
  <c r="CC287" i="24"/>
  <c r="CC125" i="24"/>
  <c r="CC297" i="24"/>
  <c r="CC231" i="24"/>
  <c r="CC124" i="24"/>
  <c r="CC203" i="24"/>
  <c r="CC162" i="24"/>
  <c r="CC208" i="24"/>
  <c r="CC267" i="24"/>
  <c r="CC228" i="24"/>
  <c r="CC147" i="24"/>
  <c r="CC167" i="24"/>
  <c r="CC157" i="24"/>
  <c r="CC166" i="24"/>
  <c r="CC257" i="24"/>
  <c r="CC123" i="24"/>
  <c r="CC268" i="24"/>
  <c r="CC177" i="24"/>
  <c r="CC223" i="24"/>
  <c r="CC171" i="24"/>
  <c r="CC138" i="24"/>
  <c r="CC149" i="24"/>
  <c r="CC120" i="24"/>
  <c r="CC266" i="24"/>
  <c r="CC169" i="24"/>
  <c r="CC219" i="24"/>
  <c r="AT173" i="24"/>
  <c r="AT135" i="24"/>
  <c r="AT138" i="24"/>
  <c r="AT118" i="24"/>
  <c r="AT202" i="24"/>
  <c r="AT164" i="24"/>
  <c r="AT129" i="24"/>
  <c r="AT140" i="24"/>
  <c r="AT178" i="24"/>
  <c r="AT175" i="24"/>
  <c r="AT180" i="24"/>
  <c r="AT126" i="24"/>
  <c r="AT124" i="24"/>
  <c r="AT200" i="24"/>
  <c r="AT160" i="24"/>
  <c r="AI253" i="24"/>
  <c r="AJ253" i="24" s="1"/>
  <c r="AT253" i="24" s="1"/>
  <c r="W253" i="24"/>
  <c r="Y253" i="24" s="1"/>
  <c r="AE253" i="24"/>
  <c r="AG253" i="24" s="1"/>
  <c r="X277" i="24"/>
  <c r="AA277" i="24" s="1"/>
  <c r="AB277" i="24" s="1"/>
  <c r="AC277" i="24" s="1"/>
  <c r="AE305" i="24"/>
  <c r="AG305" i="24" s="1"/>
  <c r="AE130" i="24"/>
  <c r="AF130" i="24" s="1"/>
  <c r="W305" i="24"/>
  <c r="Y305" i="24" s="1"/>
  <c r="AI305" i="24"/>
  <c r="AJ305" i="24" s="1"/>
  <c r="AT305" i="24" s="1"/>
  <c r="X190" i="24"/>
  <c r="AA190" i="24" s="1"/>
  <c r="AB190" i="24" s="1"/>
  <c r="AC190" i="24" s="1"/>
  <c r="AJ190" i="24" s="1"/>
  <c r="AE190" i="24"/>
  <c r="AF190" i="24" s="1"/>
  <c r="W190" i="24"/>
  <c r="Y190" i="24" s="1"/>
  <c r="AI277" i="24"/>
  <c r="W277" i="24"/>
  <c r="Y277" i="24" s="1"/>
  <c r="X280" i="24"/>
  <c r="AA280" i="24" s="1"/>
  <c r="AB280" i="24" s="1"/>
  <c r="AC280" i="24" s="1"/>
  <c r="X260" i="24"/>
  <c r="AA260" i="24" s="1"/>
  <c r="AB260" i="24" s="1"/>
  <c r="AC260" i="24" s="1"/>
  <c r="AE226" i="24"/>
  <c r="AF226" i="24" s="1"/>
  <c r="X248" i="24"/>
  <c r="AA248" i="24" s="1"/>
  <c r="AB248" i="24" s="1"/>
  <c r="AC248" i="24" s="1"/>
  <c r="AE193" i="24"/>
  <c r="X244" i="24"/>
  <c r="AA244" i="24" s="1"/>
  <c r="AB244" i="24" s="1"/>
  <c r="AC244" i="24" s="1"/>
  <c r="X299" i="24"/>
  <c r="AA299" i="24" s="1"/>
  <c r="AB299" i="24" s="1"/>
  <c r="AC299" i="24" s="1"/>
  <c r="AJ299" i="24" s="1"/>
  <c r="AT299" i="24" s="1"/>
  <c r="AI248" i="24"/>
  <c r="W248" i="24"/>
  <c r="Y248" i="24" s="1"/>
  <c r="AE244" i="24"/>
  <c r="AF244" i="24" s="1"/>
  <c r="AI244" i="24"/>
  <c r="X193" i="24"/>
  <c r="AA193" i="24" s="1"/>
  <c r="AB193" i="24" s="1"/>
  <c r="AC193" i="24" s="1"/>
  <c r="AJ193" i="24" s="1"/>
  <c r="AI281" i="24"/>
  <c r="AJ281" i="24" s="1"/>
  <c r="AT281" i="24" s="1"/>
  <c r="AI262" i="24"/>
  <c r="AI217" i="24"/>
  <c r="AJ217" i="24" s="1"/>
  <c r="AT217" i="24" s="1"/>
  <c r="X283" i="24"/>
  <c r="AA283" i="24" s="1"/>
  <c r="AB283" i="24" s="1"/>
  <c r="AC283" i="24" s="1"/>
  <c r="W280" i="24"/>
  <c r="Y280" i="24" s="1"/>
  <c r="AE171" i="24"/>
  <c r="AF171" i="24" s="1"/>
  <c r="AE281" i="24"/>
  <c r="AG281" i="24" s="1"/>
  <c r="W283" i="24"/>
  <c r="Y283" i="24" s="1"/>
  <c r="AE217" i="24"/>
  <c r="AF217" i="24" s="1"/>
  <c r="X132" i="24"/>
  <c r="AA132" i="24" s="1"/>
  <c r="AB132" i="24" s="1"/>
  <c r="AC132" i="24" s="1"/>
  <c r="AJ132" i="24" s="1"/>
  <c r="AI278" i="24"/>
  <c r="AJ278" i="24" s="1"/>
  <c r="AT278" i="24" s="1"/>
  <c r="AI257" i="24"/>
  <c r="AE290" i="24"/>
  <c r="AF290" i="24" s="1"/>
  <c r="X289" i="24"/>
  <c r="AA289" i="24" s="1"/>
  <c r="AB289" i="24" s="1"/>
  <c r="AC289" i="24" s="1"/>
  <c r="W282" i="24"/>
  <c r="Y282" i="24" s="1"/>
  <c r="AE132" i="24"/>
  <c r="W156" i="24"/>
  <c r="Y156" i="24" s="1"/>
  <c r="W226" i="24"/>
  <c r="Y226" i="24" s="1"/>
  <c r="W217" i="24"/>
  <c r="Y217" i="24" s="1"/>
  <c r="W262" i="24"/>
  <c r="Y262" i="24" s="1"/>
  <c r="X226" i="24"/>
  <c r="AA226" i="24" s="1"/>
  <c r="AB226" i="24" s="1"/>
  <c r="AC226" i="24" s="1"/>
  <c r="AJ226" i="24" s="1"/>
  <c r="AT226" i="24" s="1"/>
  <c r="X171" i="24"/>
  <c r="AA171" i="24" s="1"/>
  <c r="AB171" i="24" s="1"/>
  <c r="AC171" i="24" s="1"/>
  <c r="AJ171" i="24" s="1"/>
  <c r="AI280" i="24"/>
  <c r="X262" i="24"/>
  <c r="AA262" i="24" s="1"/>
  <c r="AB262" i="24" s="1"/>
  <c r="AC262" i="24" s="1"/>
  <c r="AI283" i="24"/>
  <c r="W132" i="24"/>
  <c r="Y132" i="24" s="1"/>
  <c r="W281" i="24"/>
  <c r="Y281" i="24" s="1"/>
  <c r="X242" i="24"/>
  <c r="AA242" i="24" s="1"/>
  <c r="AB242" i="24" s="1"/>
  <c r="AC242" i="24" s="1"/>
  <c r="AJ242" i="24" s="1"/>
  <c r="AT242" i="24" s="1"/>
  <c r="W171" i="24"/>
  <c r="Y171" i="24" s="1"/>
  <c r="AE311" i="24"/>
  <c r="AF311" i="24" s="1"/>
  <c r="AI237" i="24"/>
  <c r="AJ237" i="24" s="1"/>
  <c r="AT237" i="24" s="1"/>
  <c r="X191" i="24"/>
  <c r="AA191" i="24" s="1"/>
  <c r="AB191" i="24" s="1"/>
  <c r="AC191" i="24" s="1"/>
  <c r="AJ191" i="24" s="1"/>
  <c r="X269" i="24"/>
  <c r="AA269" i="24" s="1"/>
  <c r="AB269" i="24" s="1"/>
  <c r="AC269" i="24" s="1"/>
  <c r="AJ269" i="24" s="1"/>
  <c r="AT269" i="24" s="1"/>
  <c r="W311" i="24"/>
  <c r="Y311" i="24" s="1"/>
  <c r="W252" i="24"/>
  <c r="Y252" i="24" s="1"/>
  <c r="W158" i="24"/>
  <c r="Y158" i="24" s="1"/>
  <c r="AI289" i="24"/>
  <c r="X290" i="24"/>
  <c r="AA290" i="24" s="1"/>
  <c r="AB290" i="24" s="1"/>
  <c r="AC290" i="24" s="1"/>
  <c r="AJ290" i="24" s="1"/>
  <c r="AT290" i="24" s="1"/>
  <c r="AE260" i="24"/>
  <c r="AI282" i="24"/>
  <c r="X158" i="24"/>
  <c r="AA158" i="24" s="1"/>
  <c r="AB158" i="24" s="1"/>
  <c r="AC158" i="24" s="1"/>
  <c r="AJ158" i="24" s="1"/>
  <c r="X147" i="24"/>
  <c r="AA147" i="24" s="1"/>
  <c r="AB147" i="24" s="1"/>
  <c r="AC147" i="24" s="1"/>
  <c r="AJ147" i="24" s="1"/>
  <c r="X185" i="24"/>
  <c r="AA185" i="24" s="1"/>
  <c r="AB185" i="24" s="1"/>
  <c r="AC185" i="24" s="1"/>
  <c r="AJ185" i="24" s="1"/>
  <c r="X130" i="24"/>
  <c r="AA130" i="24" s="1"/>
  <c r="AB130" i="24" s="1"/>
  <c r="AC130" i="24" s="1"/>
  <c r="AJ130" i="24" s="1"/>
  <c r="W278" i="24"/>
  <c r="Y278" i="24" s="1"/>
  <c r="AE289" i="24"/>
  <c r="W237" i="24"/>
  <c r="Y237" i="24" s="1"/>
  <c r="AI311" i="24"/>
  <c r="AJ311" i="24" s="1"/>
  <c r="AT311" i="24" s="1"/>
  <c r="X282" i="24"/>
  <c r="AA282" i="24" s="1"/>
  <c r="AB282" i="24" s="1"/>
  <c r="AC282" i="24" s="1"/>
  <c r="AE204" i="24"/>
  <c r="AF204" i="24" s="1"/>
  <c r="W290" i="24"/>
  <c r="Y290" i="24" s="1"/>
  <c r="AI260" i="24"/>
  <c r="AI308" i="24"/>
  <c r="AJ308" i="24" s="1"/>
  <c r="AT308" i="24" s="1"/>
  <c r="X257" i="24"/>
  <c r="AA257" i="24" s="1"/>
  <c r="AB257" i="24" s="1"/>
  <c r="AC257" i="24" s="1"/>
  <c r="W147" i="24"/>
  <c r="Y147" i="24" s="1"/>
  <c r="AE147" i="24"/>
  <c r="W130" i="24"/>
  <c r="Y130" i="24" s="1"/>
  <c r="W265" i="24"/>
  <c r="Y265" i="24" s="1"/>
  <c r="AE312" i="24"/>
  <c r="AF312" i="24" s="1"/>
  <c r="AE265" i="24"/>
  <c r="AF265" i="24" s="1"/>
  <c r="W166" i="24"/>
  <c r="Y166" i="24" s="1"/>
  <c r="X117" i="24"/>
  <c r="AA117" i="24" s="1"/>
  <c r="AB117" i="24" s="1"/>
  <c r="AC117" i="24" s="1"/>
  <c r="AJ117" i="24" s="1"/>
  <c r="AE191" i="24"/>
  <c r="AE158" i="24"/>
  <c r="AF158" i="24" s="1"/>
  <c r="AE151" i="24"/>
  <c r="AF151" i="24" s="1"/>
  <c r="W193" i="24"/>
  <c r="Y193" i="24" s="1"/>
  <c r="AE176" i="24"/>
  <c r="AF176" i="24" s="1"/>
  <c r="X198" i="24"/>
  <c r="AA198" i="24" s="1"/>
  <c r="AB198" i="24" s="1"/>
  <c r="AC198" i="24" s="1"/>
  <c r="AJ198" i="24" s="1"/>
  <c r="W191" i="24"/>
  <c r="Y191" i="24" s="1"/>
  <c r="X265" i="24"/>
  <c r="AA265" i="24" s="1"/>
  <c r="AB265" i="24" s="1"/>
  <c r="AC265" i="24" s="1"/>
  <c r="AJ265" i="24" s="1"/>
  <c r="AT265" i="24" s="1"/>
  <c r="W168" i="24"/>
  <c r="Y168" i="24" s="1"/>
  <c r="W146" i="24"/>
  <c r="Y146" i="24" s="1"/>
  <c r="AI312" i="24"/>
  <c r="X298" i="24"/>
  <c r="AA298" i="24" s="1"/>
  <c r="AB298" i="24" s="1"/>
  <c r="AC298" i="24" s="1"/>
  <c r="AI195" i="24"/>
  <c r="AE133" i="24"/>
  <c r="AF133" i="24" s="1"/>
  <c r="X261" i="24"/>
  <c r="AA261" i="24" s="1"/>
  <c r="AB261" i="24" s="1"/>
  <c r="AC261" i="24" s="1"/>
  <c r="W133" i="24"/>
  <c r="Y133" i="24" s="1"/>
  <c r="AE114" i="24"/>
  <c r="AI153" i="24"/>
  <c r="W232" i="24"/>
  <c r="Y232" i="24" s="1"/>
  <c r="AI270" i="24"/>
  <c r="X312" i="24"/>
  <c r="AA312" i="24" s="1"/>
  <c r="AB312" i="24" s="1"/>
  <c r="AC312" i="24" s="1"/>
  <c r="W139" i="24"/>
  <c r="Y139" i="24" s="1"/>
  <c r="AE291" i="24"/>
  <c r="AF291" i="24" s="1"/>
  <c r="AE299" i="24"/>
  <c r="AF299" i="24" s="1"/>
  <c r="AE278" i="24"/>
  <c r="AG278" i="24" s="1"/>
  <c r="W299" i="24"/>
  <c r="Y299" i="24" s="1"/>
  <c r="X291" i="24"/>
  <c r="AA291" i="24" s="1"/>
  <c r="AB291" i="24" s="1"/>
  <c r="AC291" i="24" s="1"/>
  <c r="AJ291" i="24" s="1"/>
  <c r="AT291" i="24" s="1"/>
  <c r="X252" i="24"/>
  <c r="AA252" i="24" s="1"/>
  <c r="AB252" i="24" s="1"/>
  <c r="AC252" i="24" s="1"/>
  <c r="AJ252" i="24" s="1"/>
  <c r="AT252" i="24" s="1"/>
  <c r="AE237" i="24"/>
  <c r="AG237" i="24" s="1"/>
  <c r="AE257" i="24"/>
  <c r="AF257" i="24" s="1"/>
  <c r="W204" i="24"/>
  <c r="Y204" i="24" s="1"/>
  <c r="W176" i="24"/>
  <c r="Y176" i="24" s="1"/>
  <c r="W185" i="24"/>
  <c r="Y185" i="24" s="1"/>
  <c r="X176" i="24"/>
  <c r="AA176" i="24" s="1"/>
  <c r="AB176" i="24" s="1"/>
  <c r="AC176" i="24" s="1"/>
  <c r="AJ176" i="24" s="1"/>
  <c r="AE198" i="24"/>
  <c r="AF198" i="24" s="1"/>
  <c r="W291" i="24"/>
  <c r="Y291" i="24" s="1"/>
  <c r="W267" i="24"/>
  <c r="Y267" i="24" s="1"/>
  <c r="X267" i="24"/>
  <c r="AA267" i="24" s="1"/>
  <c r="AB267" i="24" s="1"/>
  <c r="AC267" i="24" s="1"/>
  <c r="AJ267" i="24" s="1"/>
  <c r="AT267" i="24" s="1"/>
  <c r="AI238" i="24"/>
  <c r="AJ238" i="24" s="1"/>
  <c r="AT238" i="24" s="1"/>
  <c r="AI246" i="24"/>
  <c r="AJ246" i="24" s="1"/>
  <c r="AT246" i="24" s="1"/>
  <c r="X166" i="24"/>
  <c r="AA166" i="24" s="1"/>
  <c r="AB166" i="24" s="1"/>
  <c r="AC166" i="24" s="1"/>
  <c r="AJ166" i="24" s="1"/>
  <c r="W151" i="24"/>
  <c r="Y151" i="24" s="1"/>
  <c r="X120" i="24"/>
  <c r="AA120" i="24" s="1"/>
  <c r="AB120" i="24" s="1"/>
  <c r="AC120" i="24" s="1"/>
  <c r="AJ120" i="24" s="1"/>
  <c r="AE185" i="24"/>
  <c r="AF185" i="24" s="1"/>
  <c r="W198" i="24"/>
  <c r="Y198" i="24" s="1"/>
  <c r="AE232" i="24"/>
  <c r="AF232" i="24" s="1"/>
  <c r="X143" i="24"/>
  <c r="AA143" i="24" s="1"/>
  <c r="AB143" i="24" s="1"/>
  <c r="AC143" i="24" s="1"/>
  <c r="AJ143" i="24" s="1"/>
  <c r="AE209" i="24"/>
  <c r="AF209" i="24" s="1"/>
  <c r="W153" i="24"/>
  <c r="Y153" i="24" s="1"/>
  <c r="AE139" i="24"/>
  <c r="AF139" i="24" s="1"/>
  <c r="AI298" i="24"/>
  <c r="W261" i="24"/>
  <c r="Y261" i="24" s="1"/>
  <c r="X231" i="24"/>
  <c r="AA231" i="24" s="1"/>
  <c r="AB231" i="24" s="1"/>
  <c r="AC231" i="24" s="1"/>
  <c r="AJ231" i="24" s="1"/>
  <c r="AT231" i="24" s="1"/>
  <c r="AI261" i="24"/>
  <c r="W270" i="24"/>
  <c r="Y270" i="24" s="1"/>
  <c r="X195" i="24"/>
  <c r="AA195" i="24" s="1"/>
  <c r="AB195" i="24" s="1"/>
  <c r="AC195" i="24" s="1"/>
  <c r="X146" i="24"/>
  <c r="AA146" i="24" s="1"/>
  <c r="AB146" i="24" s="1"/>
  <c r="AC146" i="24" s="1"/>
  <c r="AJ146" i="24" s="1"/>
  <c r="W114" i="24"/>
  <c r="Y114" i="24" s="1"/>
  <c r="AE231" i="24"/>
  <c r="AF231" i="24" s="1"/>
  <c r="W231" i="24"/>
  <c r="Y231" i="24" s="1"/>
  <c r="X270" i="24"/>
  <c r="AA270" i="24" s="1"/>
  <c r="AB270" i="24" s="1"/>
  <c r="AC270" i="24" s="1"/>
  <c r="X168" i="24"/>
  <c r="AA168" i="24" s="1"/>
  <c r="AB168" i="24" s="1"/>
  <c r="AC168" i="24" s="1"/>
  <c r="AJ168" i="24" s="1"/>
  <c r="AE146" i="24"/>
  <c r="AF146" i="24" s="1"/>
  <c r="W195" i="24"/>
  <c r="Y195" i="24" s="1"/>
  <c r="W209" i="24"/>
  <c r="Y209" i="24" s="1"/>
  <c r="X139" i="24"/>
  <c r="AA139" i="24" s="1"/>
  <c r="AB139" i="24" s="1"/>
  <c r="AC139" i="24" s="1"/>
  <c r="AJ139" i="24" s="1"/>
  <c r="X232" i="24"/>
  <c r="AA232" i="24" s="1"/>
  <c r="AB232" i="24" s="1"/>
  <c r="AC232" i="24" s="1"/>
  <c r="AJ232" i="24" s="1"/>
  <c r="AT232" i="24" s="1"/>
  <c r="W143" i="24"/>
  <c r="Y143" i="24" s="1"/>
  <c r="AE143" i="24"/>
  <c r="AF143" i="24" s="1"/>
  <c r="X133" i="24"/>
  <c r="AA133" i="24" s="1"/>
  <c r="AB133" i="24" s="1"/>
  <c r="AC133" i="24" s="1"/>
  <c r="AJ133" i="24" s="1"/>
  <c r="X114" i="24"/>
  <c r="AA114" i="24" s="1"/>
  <c r="AB114" i="24" s="1"/>
  <c r="AC114" i="24" s="1"/>
  <c r="AJ114" i="24" s="1"/>
  <c r="X153" i="24"/>
  <c r="AA153" i="24" s="1"/>
  <c r="AB153" i="24" s="1"/>
  <c r="AC153" i="24" s="1"/>
  <c r="AE249" i="24"/>
  <c r="AG249" i="24" s="1"/>
  <c r="AI306" i="24"/>
  <c r="AE238" i="24"/>
  <c r="AG238" i="24" s="1"/>
  <c r="AE225" i="24"/>
  <c r="AE117" i="24"/>
  <c r="AF117" i="24" s="1"/>
  <c r="AI313" i="24"/>
  <c r="AJ313" i="24" s="1"/>
  <c r="AT313" i="24" s="1"/>
  <c r="W308" i="24"/>
  <c r="Y308" i="24" s="1"/>
  <c r="W269" i="24"/>
  <c r="Y269" i="24" s="1"/>
  <c r="X276" i="24"/>
  <c r="AA276" i="24" s="1"/>
  <c r="AB276" i="24" s="1"/>
  <c r="AC276" i="24" s="1"/>
  <c r="AE263" i="24"/>
  <c r="X204" i="24"/>
  <c r="AA204" i="24" s="1"/>
  <c r="AB204" i="24" s="1"/>
  <c r="AC204" i="24" s="1"/>
  <c r="AJ204" i="24" s="1"/>
  <c r="AE166" i="24"/>
  <c r="X151" i="24"/>
  <c r="AA151" i="24" s="1"/>
  <c r="AB151" i="24" s="1"/>
  <c r="AC151" i="24" s="1"/>
  <c r="AJ151" i="24" s="1"/>
  <c r="W117" i="24"/>
  <c r="Y117" i="24" s="1"/>
  <c r="AE313" i="24"/>
  <c r="AG313" i="24" s="1"/>
  <c r="W276" i="24"/>
  <c r="Y276" i="24" s="1"/>
  <c r="W263" i="24"/>
  <c r="Y263" i="24" s="1"/>
  <c r="AE246" i="24"/>
  <c r="AG246" i="24" s="1"/>
  <c r="X296" i="24"/>
  <c r="AA296" i="24" s="1"/>
  <c r="AB296" i="24" s="1"/>
  <c r="AC296" i="24" s="1"/>
  <c r="AJ296" i="24" s="1"/>
  <c r="AT296" i="24" s="1"/>
  <c r="W249" i="24"/>
  <c r="Y249" i="24" s="1"/>
  <c r="X144" i="24"/>
  <c r="AA144" i="24" s="1"/>
  <c r="AB144" i="24" s="1"/>
  <c r="AC144" i="24" s="1"/>
  <c r="AJ144" i="24" s="1"/>
  <c r="W313" i="24"/>
  <c r="Y313" i="24" s="1"/>
  <c r="AI276" i="24"/>
  <c r="AE284" i="24"/>
  <c r="AF284" i="24" s="1"/>
  <c r="X263" i="24"/>
  <c r="AA263" i="24" s="1"/>
  <c r="AB263" i="24" s="1"/>
  <c r="AC263" i="24" s="1"/>
  <c r="AJ263" i="24" s="1"/>
  <c r="AT263" i="24" s="1"/>
  <c r="AE255" i="24"/>
  <c r="AF255" i="24" s="1"/>
  <c r="X225" i="24"/>
  <c r="AA225" i="24" s="1"/>
  <c r="AB225" i="24" s="1"/>
  <c r="AC225" i="24" s="1"/>
  <c r="W296" i="24"/>
  <c r="Y296" i="24" s="1"/>
  <c r="AE296" i="24"/>
  <c r="AF296" i="24" s="1"/>
  <c r="W284" i="24"/>
  <c r="Y284" i="24" s="1"/>
  <c r="AE156" i="24"/>
  <c r="AF156" i="24" s="1"/>
  <c r="AE144" i="24"/>
  <c r="AF144" i="24" s="1"/>
  <c r="X189" i="24"/>
  <c r="AA189" i="24" s="1"/>
  <c r="AB189" i="24" s="1"/>
  <c r="AC189" i="24" s="1"/>
  <c r="AJ189" i="24" s="1"/>
  <c r="AI249" i="24"/>
  <c r="AJ249" i="24" s="1"/>
  <c r="AT249" i="24" s="1"/>
  <c r="X284" i="24"/>
  <c r="AA284" i="24" s="1"/>
  <c r="AB284" i="24" s="1"/>
  <c r="AC284" i="24" s="1"/>
  <c r="AJ284" i="24" s="1"/>
  <c r="AT284" i="24" s="1"/>
  <c r="AI295" i="24"/>
  <c r="AJ295" i="24" s="1"/>
  <c r="AT295" i="24" s="1"/>
  <c r="W246" i="24"/>
  <c r="Y246" i="24" s="1"/>
  <c r="AI225" i="24"/>
  <c r="X156" i="24"/>
  <c r="AA156" i="24" s="1"/>
  <c r="AB156" i="24" s="1"/>
  <c r="AC156" i="24" s="1"/>
  <c r="AJ156" i="24" s="1"/>
  <c r="W144" i="24"/>
  <c r="Y144" i="24" s="1"/>
  <c r="AE194" i="24"/>
  <c r="AF194" i="24" s="1"/>
  <c r="AE295" i="24"/>
  <c r="AG295" i="24" s="1"/>
  <c r="AE242" i="24"/>
  <c r="W242" i="24"/>
  <c r="Y242" i="24" s="1"/>
  <c r="W145" i="24"/>
  <c r="Y145" i="24" s="1"/>
  <c r="AE189" i="24"/>
  <c r="W295" i="24"/>
  <c r="Y295" i="24" s="1"/>
  <c r="W255" i="24"/>
  <c r="Y255" i="24" s="1"/>
  <c r="W306" i="24"/>
  <c r="Y306" i="24" s="1"/>
  <c r="AE252" i="24"/>
  <c r="AF252" i="24" s="1"/>
  <c r="X306" i="24"/>
  <c r="AA306" i="24" s="1"/>
  <c r="AB306" i="24" s="1"/>
  <c r="AC306" i="24" s="1"/>
  <c r="AE308" i="24"/>
  <c r="AF308" i="24" s="1"/>
  <c r="AE267" i="24"/>
  <c r="AF267" i="24" s="1"/>
  <c r="X255" i="24"/>
  <c r="AA255" i="24" s="1"/>
  <c r="AB255" i="24" s="1"/>
  <c r="AC255" i="24" s="1"/>
  <c r="AJ255" i="24" s="1"/>
  <c r="AT255" i="24" s="1"/>
  <c r="AE269" i="24"/>
  <c r="AE113" i="24"/>
  <c r="AF113" i="24" s="1"/>
  <c r="AE120" i="24"/>
  <c r="AF120" i="24" s="1"/>
  <c r="AE174" i="24"/>
  <c r="W298" i="24"/>
  <c r="Y298" i="24" s="1"/>
  <c r="W238" i="24"/>
  <c r="Y238" i="24" s="1"/>
  <c r="W113" i="24"/>
  <c r="Y113" i="24" s="1"/>
  <c r="AE168" i="24"/>
  <c r="X113" i="24"/>
  <c r="AA113" i="24" s="1"/>
  <c r="AB113" i="24" s="1"/>
  <c r="AC113" i="24" s="1"/>
  <c r="AJ113" i="24" s="1"/>
  <c r="W120" i="24"/>
  <c r="Y120" i="24" s="1"/>
  <c r="W189" i="24"/>
  <c r="Y189" i="24" s="1"/>
  <c r="X209" i="24"/>
  <c r="AA209" i="24" s="1"/>
  <c r="AB209" i="24" s="1"/>
  <c r="AC209" i="24" s="1"/>
  <c r="AJ209" i="24" s="1"/>
  <c r="W174" i="24"/>
  <c r="Y174" i="24" s="1"/>
  <c r="X174" i="24"/>
  <c r="AA174" i="24" s="1"/>
  <c r="AB174" i="24" s="1"/>
  <c r="AC174" i="24" s="1"/>
  <c r="AJ174" i="24" s="1"/>
  <c r="AE186" i="24"/>
  <c r="AF186" i="24" s="1"/>
  <c r="X89" i="24"/>
  <c r="AA89" i="24" s="1"/>
  <c r="AB89" i="24" s="1"/>
  <c r="AC89" i="24" s="1"/>
  <c r="W186" i="24"/>
  <c r="Y186" i="24" s="1"/>
  <c r="AE201" i="24"/>
  <c r="AF201" i="24" s="1"/>
  <c r="X112" i="24"/>
  <c r="AA112" i="24" s="1"/>
  <c r="AB112" i="24" s="1"/>
  <c r="AC112" i="24" s="1"/>
  <c r="AE150" i="24"/>
  <c r="AF150" i="24" s="1"/>
  <c r="AE179" i="24"/>
  <c r="AF179" i="24" s="1"/>
  <c r="W119" i="24"/>
  <c r="Y119" i="24" s="1"/>
  <c r="AI172" i="24"/>
  <c r="W50" i="24"/>
  <c r="Y50" i="24" s="1"/>
  <c r="W101" i="24"/>
  <c r="Y101" i="24" s="1"/>
  <c r="AE100" i="24"/>
  <c r="AF100" i="24" s="1"/>
  <c r="AE60" i="24"/>
  <c r="AF60" i="24" s="1"/>
  <c r="X25" i="24"/>
  <c r="AA25" i="24" s="1"/>
  <c r="AB25" i="24" s="1"/>
  <c r="AC25" i="24" s="1"/>
  <c r="AJ25" i="24" s="1"/>
  <c r="AE101" i="24"/>
  <c r="AF101" i="24" s="1"/>
  <c r="W150" i="24"/>
  <c r="Y150" i="24" s="1"/>
  <c r="W179" i="24"/>
  <c r="Y179" i="24" s="1"/>
  <c r="X181" i="24"/>
  <c r="AA181" i="24" s="1"/>
  <c r="AB181" i="24" s="1"/>
  <c r="AC181" i="24" s="1"/>
  <c r="X208" i="24"/>
  <c r="AA208" i="24" s="1"/>
  <c r="AB208" i="24" s="1"/>
  <c r="AC208" i="24" s="1"/>
  <c r="W128" i="24"/>
  <c r="Y128" i="24" s="1"/>
  <c r="X196" i="24"/>
  <c r="AA196" i="24" s="1"/>
  <c r="AB196" i="24" s="1"/>
  <c r="AC196" i="24" s="1"/>
  <c r="AJ196" i="24" s="1"/>
  <c r="AE128" i="24"/>
  <c r="AG128" i="24" s="1"/>
  <c r="AI112" i="24"/>
  <c r="W60" i="24"/>
  <c r="Y60" i="24" s="1"/>
  <c r="X92" i="24"/>
  <c r="AA92" i="24" s="1"/>
  <c r="AB92" i="24" s="1"/>
  <c r="AC92" i="24" s="1"/>
  <c r="W181" i="24"/>
  <c r="Y181" i="24" s="1"/>
  <c r="AI181" i="24"/>
  <c r="CB166" i="24"/>
  <c r="CB113" i="24"/>
  <c r="W154" i="24"/>
  <c r="Y154" i="24" s="1"/>
  <c r="X162" i="24"/>
  <c r="AA162" i="24" s="1"/>
  <c r="AB162" i="24" s="1"/>
  <c r="AC162" i="24" s="1"/>
  <c r="AJ162" i="24" s="1"/>
  <c r="X206" i="24"/>
  <c r="AA206" i="24" s="1"/>
  <c r="AB206" i="24" s="1"/>
  <c r="AC206" i="24" s="1"/>
  <c r="AJ206" i="24" s="1"/>
  <c r="X46" i="24"/>
  <c r="AA46" i="24" s="1"/>
  <c r="AB46" i="24" s="1"/>
  <c r="AC46" i="24" s="1"/>
  <c r="AI54" i="24"/>
  <c r="X18" i="24"/>
  <c r="AA18" i="24" s="1"/>
  <c r="AB18" i="24" s="1"/>
  <c r="AC18" i="24" s="1"/>
  <c r="W188" i="24"/>
  <c r="Y188" i="24" s="1"/>
  <c r="AI207" i="24"/>
  <c r="X157" i="24"/>
  <c r="AA157" i="24" s="1"/>
  <c r="AB157" i="24" s="1"/>
  <c r="AC157" i="24" s="1"/>
  <c r="AE137" i="24"/>
  <c r="AG137" i="24" s="1"/>
  <c r="AI18" i="24"/>
  <c r="W27" i="24"/>
  <c r="Y27" i="24" s="1"/>
  <c r="W78" i="24"/>
  <c r="Y78" i="24" s="1"/>
  <c r="X54" i="24"/>
  <c r="AA54" i="24" s="1"/>
  <c r="AB54" i="24" s="1"/>
  <c r="AC54" i="24" s="1"/>
  <c r="X95" i="24"/>
  <c r="AA95" i="24" s="1"/>
  <c r="AB95" i="24" s="1"/>
  <c r="AC95" i="24" s="1"/>
  <c r="AJ95" i="24" s="1"/>
  <c r="X148" i="24"/>
  <c r="AA148" i="24" s="1"/>
  <c r="AB148" i="24" s="1"/>
  <c r="AC148" i="24" s="1"/>
  <c r="AE125" i="24"/>
  <c r="AF125" i="24" s="1"/>
  <c r="W87" i="24"/>
  <c r="Y87" i="24" s="1"/>
  <c r="W54" i="24"/>
  <c r="Y54" i="24" s="1"/>
  <c r="W10" i="24"/>
  <c r="Y10" i="24" s="1"/>
  <c r="X10" i="24"/>
  <c r="AA10" i="24" s="1"/>
  <c r="AB10" i="24" s="1"/>
  <c r="AC10" i="24" s="1"/>
  <c r="AJ10" i="24" s="1"/>
  <c r="X199" i="24"/>
  <c r="AA199" i="24" s="1"/>
  <c r="AB199" i="24" s="1"/>
  <c r="AC199" i="24" s="1"/>
  <c r="AJ199" i="24" s="1"/>
  <c r="AE134" i="24"/>
  <c r="AF134" i="24" s="1"/>
  <c r="AE142" i="24"/>
  <c r="AG142" i="24" s="1"/>
  <c r="AE210" i="24"/>
  <c r="AF210" i="24" s="1"/>
  <c r="AI170" i="24"/>
  <c r="AJ170" i="24" s="1"/>
  <c r="W19" i="24"/>
  <c r="Y19" i="24" s="1"/>
  <c r="X36" i="24"/>
  <c r="AA36" i="24" s="1"/>
  <c r="AB36" i="24" s="1"/>
  <c r="AC36" i="24" s="1"/>
  <c r="AJ36" i="24" s="1"/>
  <c r="AE78" i="24"/>
  <c r="AG78" i="24" s="1"/>
  <c r="W157" i="24"/>
  <c r="Y157" i="24" s="1"/>
  <c r="W203" i="24"/>
  <c r="Y203" i="24" s="1"/>
  <c r="X192" i="24"/>
  <c r="AA192" i="24" s="1"/>
  <c r="AB192" i="24" s="1"/>
  <c r="AC192" i="24" s="1"/>
  <c r="AJ192" i="24" s="1"/>
  <c r="AE159" i="24"/>
  <c r="AI78" i="24"/>
  <c r="AJ78" i="24" s="1"/>
  <c r="AI203" i="24"/>
  <c r="AI165" i="24"/>
  <c r="AJ165" i="24" s="1"/>
  <c r="W31" i="24"/>
  <c r="Y31" i="24" s="1"/>
  <c r="W46" i="24"/>
  <c r="Y46" i="24" s="1"/>
  <c r="X41" i="24"/>
  <c r="AA41" i="24" s="1"/>
  <c r="AB41" i="24" s="1"/>
  <c r="AC41" i="24" s="1"/>
  <c r="AE96" i="24"/>
  <c r="AF96" i="24" s="1"/>
  <c r="X161" i="24"/>
  <c r="AA161" i="24" s="1"/>
  <c r="AB161" i="24" s="1"/>
  <c r="AC161" i="24" s="1"/>
  <c r="AJ161" i="24" s="1"/>
  <c r="X188" i="24"/>
  <c r="AA188" i="24" s="1"/>
  <c r="AB188" i="24" s="1"/>
  <c r="AC188" i="24" s="1"/>
  <c r="AJ188" i="24" s="1"/>
  <c r="W205" i="24"/>
  <c r="Y205" i="24" s="1"/>
  <c r="W182" i="24"/>
  <c r="Y182" i="24" s="1"/>
  <c r="AE205" i="24"/>
  <c r="AF205" i="24" s="1"/>
  <c r="AE170" i="24"/>
  <c r="AG170" i="24" s="1"/>
  <c r="W194" i="24"/>
  <c r="Y194" i="24" s="1"/>
  <c r="W206" i="24"/>
  <c r="Y206" i="24" s="1"/>
  <c r="W199" i="24"/>
  <c r="Y199" i="24" s="1"/>
  <c r="X50" i="24"/>
  <c r="AA50" i="24" s="1"/>
  <c r="AB50" i="24" s="1"/>
  <c r="AC50" i="24" s="1"/>
  <c r="AJ50" i="24" s="1"/>
  <c r="AI46" i="24"/>
  <c r="AI157" i="24"/>
  <c r="AE56" i="24"/>
  <c r="AG56" i="24" s="1"/>
  <c r="W165" i="24"/>
  <c r="Y165" i="24" s="1"/>
  <c r="X203" i="24"/>
  <c r="AA203" i="24" s="1"/>
  <c r="AB203" i="24" s="1"/>
  <c r="AC203" i="24" s="1"/>
  <c r="AJ203" i="24" s="1"/>
  <c r="X177" i="24"/>
  <c r="AA177" i="24" s="1"/>
  <c r="AB177" i="24" s="1"/>
  <c r="AC177" i="24" s="1"/>
  <c r="AJ177" i="24" s="1"/>
  <c r="W36" i="24"/>
  <c r="Y36" i="24" s="1"/>
  <c r="AI210" i="24"/>
  <c r="W18" i="24"/>
  <c r="Y18" i="24" s="1"/>
  <c r="AI53" i="24"/>
  <c r="AJ53" i="24" s="1"/>
  <c r="AE95" i="24"/>
  <c r="AF95" i="24" s="1"/>
  <c r="AI148" i="24"/>
  <c r="CB167" i="24"/>
  <c r="CB158" i="24"/>
  <c r="CB143" i="24"/>
  <c r="AI21" i="24"/>
  <c r="AE21" i="24"/>
  <c r="AF21" i="24" s="1"/>
  <c r="W42" i="24"/>
  <c r="Y42" i="24" s="1"/>
  <c r="W155" i="24"/>
  <c r="Y155" i="24" s="1"/>
  <c r="X187" i="24"/>
  <c r="AA187" i="24" s="1"/>
  <c r="AB187" i="24" s="1"/>
  <c r="AC187" i="24" s="1"/>
  <c r="X136" i="24"/>
  <c r="AA136" i="24" s="1"/>
  <c r="AB136" i="24" s="1"/>
  <c r="AC136" i="24" s="1"/>
  <c r="AE163" i="24"/>
  <c r="AF163" i="24" s="1"/>
  <c r="W149" i="24"/>
  <c r="Y149" i="24" s="1"/>
  <c r="X122" i="24"/>
  <c r="AA122" i="24" s="1"/>
  <c r="AB122" i="24" s="1"/>
  <c r="AC122" i="24" s="1"/>
  <c r="AE141" i="24"/>
  <c r="AF141" i="24" s="1"/>
  <c r="CB138" i="24"/>
  <c r="CB148" i="24"/>
  <c r="CB145" i="24"/>
  <c r="W136" i="24"/>
  <c r="Y136" i="24" s="1"/>
  <c r="X163" i="24"/>
  <c r="AA163" i="24" s="1"/>
  <c r="AB163" i="24" s="1"/>
  <c r="AC163" i="24" s="1"/>
  <c r="AJ163" i="24" s="1"/>
  <c r="AE145" i="24"/>
  <c r="AF145" i="24" s="1"/>
  <c r="CB175" i="24"/>
  <c r="CB133" i="24"/>
  <c r="AI83" i="24"/>
  <c r="AJ83" i="24" s="1"/>
  <c r="AI101" i="24"/>
  <c r="AJ101" i="24" s="1"/>
  <c r="AI97" i="24"/>
  <c r="AI92" i="24"/>
  <c r="AI179" i="24"/>
  <c r="AJ179" i="24" s="1"/>
  <c r="AI150" i="24"/>
  <c r="AJ150" i="24" s="1"/>
  <c r="AI208" i="24"/>
  <c r="W74" i="24"/>
  <c r="Y74" i="24" s="1"/>
  <c r="AE25" i="24"/>
  <c r="X60" i="24"/>
  <c r="AA60" i="24" s="1"/>
  <c r="AB60" i="24" s="1"/>
  <c r="AC60" i="24" s="1"/>
  <c r="AJ60" i="24" s="1"/>
  <c r="AE131" i="24"/>
  <c r="AF131" i="24" s="1"/>
  <c r="AE183" i="24"/>
  <c r="AG183" i="24" s="1"/>
  <c r="X186" i="24"/>
  <c r="AA186" i="24" s="1"/>
  <c r="AB186" i="24" s="1"/>
  <c r="AC186" i="24" s="1"/>
  <c r="AJ186" i="24" s="1"/>
  <c r="AE172" i="24"/>
  <c r="AF172" i="24" s="1"/>
  <c r="AE196" i="24"/>
  <c r="W131" i="24"/>
  <c r="Y131" i="24" s="1"/>
  <c r="AI201" i="24"/>
  <c r="W89" i="24"/>
  <c r="Y89" i="24" s="1"/>
  <c r="CB118" i="24"/>
  <c r="CB122" i="24"/>
  <c r="CB116" i="24"/>
  <c r="CB120" i="24"/>
  <c r="AI89" i="24"/>
  <c r="AI183" i="24"/>
  <c r="AJ183" i="24" s="1"/>
  <c r="W25" i="24"/>
  <c r="Y25" i="24" s="1"/>
  <c r="W82" i="24"/>
  <c r="Y82" i="24" s="1"/>
  <c r="W92" i="24"/>
  <c r="Y92" i="24" s="1"/>
  <c r="X100" i="24"/>
  <c r="AA100" i="24" s="1"/>
  <c r="AB100" i="24" s="1"/>
  <c r="AC100" i="24" s="1"/>
  <c r="AJ100" i="24" s="1"/>
  <c r="AI128" i="24"/>
  <c r="AJ128" i="24" s="1"/>
  <c r="W208" i="24"/>
  <c r="Y208" i="24" s="1"/>
  <c r="W196" i="24"/>
  <c r="Y196" i="24" s="1"/>
  <c r="AE119" i="24"/>
  <c r="AF119" i="24" s="1"/>
  <c r="AE50" i="24"/>
  <c r="AF50" i="24" s="1"/>
  <c r="CB135" i="24"/>
  <c r="CB162" i="24"/>
  <c r="CB114" i="24"/>
  <c r="CB161" i="24"/>
  <c r="CB115" i="24"/>
  <c r="CB184" i="24"/>
  <c r="CB137" i="24"/>
  <c r="AI74" i="24"/>
  <c r="AJ74" i="24" s="1"/>
  <c r="AI136" i="24"/>
  <c r="W53" i="24"/>
  <c r="Y53" i="24" s="1"/>
  <c r="W86" i="24"/>
  <c r="Y86" i="24" s="1"/>
  <c r="W95" i="24"/>
  <c r="Y95" i="24" s="1"/>
  <c r="W56" i="24"/>
  <c r="Y56" i="24" s="1"/>
  <c r="AE69" i="24"/>
  <c r="AF69" i="24" s="1"/>
  <c r="X31" i="24"/>
  <c r="AA31" i="24" s="1"/>
  <c r="AB31" i="24" s="1"/>
  <c r="AC31" i="24" s="1"/>
  <c r="X96" i="24"/>
  <c r="AA96" i="24" s="1"/>
  <c r="AB96" i="24" s="1"/>
  <c r="AC96" i="24" s="1"/>
  <c r="W183" i="24"/>
  <c r="Y183" i="24" s="1"/>
  <c r="AE188" i="24"/>
  <c r="AF188" i="24" s="1"/>
  <c r="AE112" i="24"/>
  <c r="AE199" i="24"/>
  <c r="AF199" i="24" s="1"/>
  <c r="X131" i="24"/>
  <c r="AA131" i="24" s="1"/>
  <c r="AB131" i="24" s="1"/>
  <c r="AC131" i="24" s="1"/>
  <c r="AJ131" i="24" s="1"/>
  <c r="X134" i="24"/>
  <c r="AA134" i="24" s="1"/>
  <c r="AB134" i="24" s="1"/>
  <c r="AC134" i="24" s="1"/>
  <c r="AJ134" i="24" s="1"/>
  <c r="AE123" i="24"/>
  <c r="AF123" i="24" s="1"/>
  <c r="W192" i="24"/>
  <c r="Y192" i="24" s="1"/>
  <c r="W125" i="24"/>
  <c r="Y125" i="24" s="1"/>
  <c r="W142" i="24"/>
  <c r="Y142" i="24" s="1"/>
  <c r="AE184" i="24"/>
  <c r="AF184" i="24" s="1"/>
  <c r="X152" i="24"/>
  <c r="AA152" i="24" s="1"/>
  <c r="AB152" i="24" s="1"/>
  <c r="AC152" i="24" s="1"/>
  <c r="AJ152" i="24" s="1"/>
  <c r="AE148" i="24"/>
  <c r="AF148" i="24" s="1"/>
  <c r="AE162" i="24"/>
  <c r="X116" i="24"/>
  <c r="AA116" i="24" s="1"/>
  <c r="AB116" i="24" s="1"/>
  <c r="AC116" i="24" s="1"/>
  <c r="AE192" i="24"/>
  <c r="AF192" i="24" s="1"/>
  <c r="X125" i="24"/>
  <c r="AA125" i="24" s="1"/>
  <c r="AB125" i="24" s="1"/>
  <c r="AC125" i="24" s="1"/>
  <c r="AJ125" i="24" s="1"/>
  <c r="W207" i="24"/>
  <c r="Y207" i="24" s="1"/>
  <c r="W170" i="24"/>
  <c r="Y170" i="24" s="1"/>
  <c r="X167" i="24"/>
  <c r="AA167" i="24" s="1"/>
  <c r="AB167" i="24" s="1"/>
  <c r="AC167" i="24" s="1"/>
  <c r="AJ167" i="24" s="1"/>
  <c r="X172" i="24"/>
  <c r="AA172" i="24" s="1"/>
  <c r="AB172" i="24" s="1"/>
  <c r="AC172" i="24" s="1"/>
  <c r="AE165" i="24"/>
  <c r="AG165" i="24" s="1"/>
  <c r="AE177" i="24"/>
  <c r="AF177" i="24" s="1"/>
  <c r="AE206" i="24"/>
  <c r="AF206" i="24" s="1"/>
  <c r="X194" i="24"/>
  <c r="AA194" i="24" s="1"/>
  <c r="AB194" i="24" s="1"/>
  <c r="AC194" i="24" s="1"/>
  <c r="AJ194" i="24" s="1"/>
  <c r="X210" i="24"/>
  <c r="AA210" i="24" s="1"/>
  <c r="AB210" i="24" s="1"/>
  <c r="AC210" i="24" s="1"/>
  <c r="X201" i="24"/>
  <c r="AA201" i="24" s="1"/>
  <c r="AB201" i="24" s="1"/>
  <c r="AC201" i="24" s="1"/>
  <c r="AI31" i="24"/>
  <c r="AI96" i="24"/>
  <c r="AI87" i="24"/>
  <c r="AI142" i="24"/>
  <c r="AJ142" i="24" s="1"/>
  <c r="AI169" i="24"/>
  <c r="AI205" i="24"/>
  <c r="AJ205" i="24" s="1"/>
  <c r="AE27" i="24"/>
  <c r="AF27" i="24" s="1"/>
  <c r="AE36" i="24"/>
  <c r="AF36" i="24" s="1"/>
  <c r="AE10" i="24"/>
  <c r="AF10" i="24" s="1"/>
  <c r="AE161" i="24"/>
  <c r="AF161" i="24" s="1"/>
  <c r="W134" i="24"/>
  <c r="Y134" i="24" s="1"/>
  <c r="W162" i="24"/>
  <c r="Y162" i="24" s="1"/>
  <c r="W159" i="24"/>
  <c r="Y159" i="24" s="1"/>
  <c r="X169" i="24"/>
  <c r="AA169" i="24" s="1"/>
  <c r="AB169" i="24" s="1"/>
  <c r="AC169" i="24" s="1"/>
  <c r="W137" i="24"/>
  <c r="Y137" i="24" s="1"/>
  <c r="X159" i="24"/>
  <c r="AA159" i="24" s="1"/>
  <c r="AB159" i="24" s="1"/>
  <c r="AC159" i="24" s="1"/>
  <c r="AJ159" i="24" s="1"/>
  <c r="X119" i="24"/>
  <c r="AA119" i="24" s="1"/>
  <c r="AB119" i="24" s="1"/>
  <c r="AC119" i="24" s="1"/>
  <c r="AJ119" i="24" s="1"/>
  <c r="AI56" i="24"/>
  <c r="AJ56" i="24" s="1"/>
  <c r="AE83" i="24"/>
  <c r="AG83" i="24" s="1"/>
  <c r="X40" i="24"/>
  <c r="AA40" i="24" s="1"/>
  <c r="AB40" i="24" s="1"/>
  <c r="AC40" i="24" s="1"/>
  <c r="AI116" i="24"/>
  <c r="W105" i="24"/>
  <c r="Y105" i="24" s="1"/>
  <c r="W79" i="24"/>
  <c r="Y79" i="24" s="1"/>
  <c r="AE105" i="24"/>
  <c r="AF105" i="24" s="1"/>
  <c r="X33" i="24"/>
  <c r="AA33" i="24" s="1"/>
  <c r="AB33" i="24" s="1"/>
  <c r="AC33" i="24" s="1"/>
  <c r="AE55" i="24"/>
  <c r="X87" i="24"/>
  <c r="AA87" i="24" s="1"/>
  <c r="AB87" i="24" s="1"/>
  <c r="AC87" i="24" s="1"/>
  <c r="AJ87" i="24" s="1"/>
  <c r="W161" i="24"/>
  <c r="Y161" i="24" s="1"/>
  <c r="W152" i="24"/>
  <c r="Y152" i="24" s="1"/>
  <c r="W163" i="24"/>
  <c r="Y163" i="24" s="1"/>
  <c r="AE182" i="24"/>
  <c r="AG182" i="24" s="1"/>
  <c r="X155" i="24"/>
  <c r="AA155" i="24" s="1"/>
  <c r="AB155" i="24" s="1"/>
  <c r="AC155" i="24" s="1"/>
  <c r="X123" i="24"/>
  <c r="AA123" i="24" s="1"/>
  <c r="AB123" i="24" s="1"/>
  <c r="AC123" i="24" s="1"/>
  <c r="W116" i="24"/>
  <c r="Y116" i="24" s="1"/>
  <c r="W169" i="24"/>
  <c r="Y169" i="24" s="1"/>
  <c r="W167" i="24"/>
  <c r="Y167" i="24" s="1"/>
  <c r="AE152" i="24"/>
  <c r="X115" i="24"/>
  <c r="AA115" i="24" s="1"/>
  <c r="AB115" i="24" s="1"/>
  <c r="AC115" i="24" s="1"/>
  <c r="X207" i="24"/>
  <c r="AA207" i="24" s="1"/>
  <c r="AB207" i="24" s="1"/>
  <c r="AC207" i="24" s="1"/>
  <c r="W187" i="24"/>
  <c r="Y187" i="24" s="1"/>
  <c r="W115" i="24"/>
  <c r="Y115" i="24" s="1"/>
  <c r="AE154" i="24"/>
  <c r="AG154" i="24" s="1"/>
  <c r="X149" i="24"/>
  <c r="AA149" i="24" s="1"/>
  <c r="AB149" i="24" s="1"/>
  <c r="AC149" i="24" s="1"/>
  <c r="AJ149" i="24" s="1"/>
  <c r="AE122" i="24"/>
  <c r="W177" i="24"/>
  <c r="Y177" i="24" s="1"/>
  <c r="AI145" i="24"/>
  <c r="AJ145" i="24" s="1"/>
  <c r="AI68" i="24"/>
  <c r="AE104" i="24"/>
  <c r="AF104" i="24" s="1"/>
  <c r="AI154" i="24"/>
  <c r="AJ154" i="24" s="1"/>
  <c r="AI123" i="24"/>
  <c r="AI182" i="24"/>
  <c r="AJ182" i="24" s="1"/>
  <c r="AI122" i="24"/>
  <c r="AI184" i="24"/>
  <c r="AJ184" i="24" s="1"/>
  <c r="AI141" i="24"/>
  <c r="AJ141" i="24" s="1"/>
  <c r="AE42" i="24"/>
  <c r="AF42" i="24" s="1"/>
  <c r="W184" i="24"/>
  <c r="Y184" i="24" s="1"/>
  <c r="AI155" i="24"/>
  <c r="W72" i="24"/>
  <c r="Y72" i="24" s="1"/>
  <c r="X27" i="24"/>
  <c r="AA27" i="24" s="1"/>
  <c r="AB27" i="24" s="1"/>
  <c r="AC27" i="24" s="1"/>
  <c r="AJ27" i="24" s="1"/>
  <c r="X105" i="24"/>
  <c r="AA105" i="24" s="1"/>
  <c r="AB105" i="24" s="1"/>
  <c r="AC105" i="24" s="1"/>
  <c r="AJ105" i="24" s="1"/>
  <c r="X19" i="24"/>
  <c r="AA19" i="24" s="1"/>
  <c r="AB19" i="24" s="1"/>
  <c r="AC19" i="24" s="1"/>
  <c r="AE91" i="24"/>
  <c r="AF91" i="24" s="1"/>
  <c r="AI187" i="24"/>
  <c r="AI137" i="24"/>
  <c r="AJ137" i="24" s="1"/>
  <c r="AI115" i="24"/>
  <c r="W141" i="24"/>
  <c r="Y141" i="24" s="1"/>
  <c r="AE167" i="24"/>
  <c r="AE149" i="24"/>
  <c r="AF149" i="24" s="1"/>
  <c r="X21" i="24"/>
  <c r="AA21" i="24" s="1"/>
  <c r="AB21" i="24" s="1"/>
  <c r="AC21" i="24" s="1"/>
  <c r="X42" i="24"/>
  <c r="AA42" i="24" s="1"/>
  <c r="AB42" i="24" s="1"/>
  <c r="AC42" i="24" s="1"/>
  <c r="AJ42" i="24" s="1"/>
  <c r="AI79" i="24"/>
  <c r="W63" i="24"/>
  <c r="Y63" i="24" s="1"/>
  <c r="X79" i="24"/>
  <c r="AA79" i="24" s="1"/>
  <c r="AB79" i="24" s="1"/>
  <c r="AC79" i="24" s="1"/>
  <c r="X72" i="24"/>
  <c r="AA72" i="24" s="1"/>
  <c r="AB72" i="24" s="1"/>
  <c r="AC72" i="24" s="1"/>
  <c r="AI55" i="24"/>
  <c r="AI72" i="24"/>
  <c r="W83" i="24"/>
  <c r="Y83" i="24" s="1"/>
  <c r="W40" i="24"/>
  <c r="Y40" i="24" s="1"/>
  <c r="X55" i="24"/>
  <c r="AA55" i="24" s="1"/>
  <c r="AB55" i="24" s="1"/>
  <c r="AC55" i="24" s="1"/>
  <c r="W68" i="24"/>
  <c r="Y68" i="24" s="1"/>
  <c r="W23" i="24"/>
  <c r="Y23" i="24" s="1"/>
  <c r="W41" i="24"/>
  <c r="Y41" i="24" s="1"/>
  <c r="W69" i="24"/>
  <c r="Y69" i="24" s="1"/>
  <c r="X68" i="24"/>
  <c r="AA68" i="24" s="1"/>
  <c r="AB68" i="24" s="1"/>
  <c r="AC68" i="24" s="1"/>
  <c r="X51" i="24"/>
  <c r="AA51" i="24" s="1"/>
  <c r="AB51" i="24" s="1"/>
  <c r="AC51" i="24" s="1"/>
  <c r="X97" i="24"/>
  <c r="AA97" i="24" s="1"/>
  <c r="AB97" i="24" s="1"/>
  <c r="AC97" i="24" s="1"/>
  <c r="X28" i="24"/>
  <c r="AA28" i="24" s="1"/>
  <c r="AB28" i="24" s="1"/>
  <c r="AC28" i="24" s="1"/>
  <c r="AE86" i="24"/>
  <c r="AF86" i="24" s="1"/>
  <c r="AE85" i="24"/>
  <c r="AF85" i="24" s="1"/>
  <c r="X70" i="24"/>
  <c r="AA70" i="24" s="1"/>
  <c r="AB70" i="24" s="1"/>
  <c r="AC70" i="24" s="1"/>
  <c r="AJ70" i="24" s="1"/>
  <c r="AE32" i="24"/>
  <c r="AF32" i="24" s="1"/>
  <c r="X104" i="24"/>
  <c r="AA104" i="24" s="1"/>
  <c r="AB104" i="24" s="1"/>
  <c r="AC104" i="24" s="1"/>
  <c r="AJ104" i="24" s="1"/>
  <c r="W70" i="24"/>
  <c r="Y70" i="24" s="1"/>
  <c r="AI86" i="24"/>
  <c r="AJ86" i="24" s="1"/>
  <c r="AI33" i="24"/>
  <c r="AI41" i="24"/>
  <c r="AI28" i="24"/>
  <c r="AI19" i="24"/>
  <c r="AI51" i="24"/>
  <c r="AE33" i="24"/>
  <c r="AE14" i="24"/>
  <c r="AF14" i="24" s="1"/>
  <c r="X69" i="24"/>
  <c r="AA69" i="24" s="1"/>
  <c r="AB69" i="24" s="1"/>
  <c r="AC69" i="24" s="1"/>
  <c r="AJ69" i="24" s="1"/>
  <c r="AE23" i="24"/>
  <c r="X29" i="24"/>
  <c r="AA29" i="24" s="1"/>
  <c r="AB29" i="24" s="1"/>
  <c r="AC29" i="24" s="1"/>
  <c r="W51" i="24"/>
  <c r="Y51" i="24" s="1"/>
  <c r="AE53" i="24"/>
  <c r="AF53" i="24" s="1"/>
  <c r="AI29" i="24"/>
  <c r="AI85" i="24"/>
  <c r="AJ85" i="24" s="1"/>
  <c r="W29" i="24"/>
  <c r="Y29" i="24" s="1"/>
  <c r="W85" i="24"/>
  <c r="Y85" i="24" s="1"/>
  <c r="W28" i="24"/>
  <c r="Y28" i="24" s="1"/>
  <c r="W104" i="24"/>
  <c r="Y104" i="24" s="1"/>
  <c r="AE97" i="24"/>
  <c r="AF97" i="24" s="1"/>
  <c r="AE70" i="24"/>
  <c r="AE73" i="24"/>
  <c r="AG73" i="24" s="1"/>
  <c r="AI63" i="24"/>
  <c r="AI14" i="24"/>
  <c r="AJ14" i="24" s="1"/>
  <c r="AI59" i="24"/>
  <c r="AI91" i="24"/>
  <c r="AJ91" i="24" s="1"/>
  <c r="P100" i="24"/>
  <c r="W14" i="24"/>
  <c r="Y14" i="24" s="1"/>
  <c r="AE74" i="24"/>
  <c r="AG74" i="24" s="1"/>
  <c r="AI40" i="24"/>
  <c r="AI73" i="24"/>
  <c r="AJ73" i="24" s="1"/>
  <c r="AI82" i="24"/>
  <c r="P101" i="24"/>
  <c r="P32" i="24"/>
  <c r="W100" i="24"/>
  <c r="Y100" i="24" s="1"/>
  <c r="W59" i="24"/>
  <c r="Y59" i="24" s="1"/>
  <c r="AP32" i="24"/>
  <c r="AP25" i="24"/>
  <c r="AP86" i="24"/>
  <c r="X59" i="24"/>
  <c r="AA59" i="24" s="1"/>
  <c r="AB59" i="24" s="1"/>
  <c r="AC59" i="24" s="1"/>
  <c r="X82" i="24"/>
  <c r="AA82" i="24" s="1"/>
  <c r="AB82" i="24" s="1"/>
  <c r="AC82" i="24" s="1"/>
  <c r="W32" i="24"/>
  <c r="Y32" i="24" s="1"/>
  <c r="X23" i="24"/>
  <c r="AA23" i="24" s="1"/>
  <c r="AB23" i="24" s="1"/>
  <c r="AC23" i="24" s="1"/>
  <c r="AJ23" i="24" s="1"/>
  <c r="X32" i="24"/>
  <c r="AA32" i="24" s="1"/>
  <c r="AB32" i="24" s="1"/>
  <c r="AC32" i="24" s="1"/>
  <c r="AJ32" i="24" s="1"/>
  <c r="X63" i="24"/>
  <c r="AA63" i="24" s="1"/>
  <c r="AB63" i="24" s="1"/>
  <c r="AC63" i="24" s="1"/>
  <c r="W64" i="24"/>
  <c r="Y64" i="24" s="1"/>
  <c r="W91" i="24"/>
  <c r="Y91" i="24" s="1"/>
  <c r="W73" i="24"/>
  <c r="Y73" i="24" s="1"/>
  <c r="AP104" i="24"/>
  <c r="AP100" i="24"/>
  <c r="X64" i="24"/>
  <c r="AA64" i="24" s="1"/>
  <c r="AB64" i="24" s="1"/>
  <c r="AC64" i="24" s="1"/>
  <c r="P85" i="24"/>
  <c r="P25" i="24"/>
  <c r="P104" i="24"/>
  <c r="AP33" i="24"/>
  <c r="AP78" i="24"/>
  <c r="AP69" i="24"/>
  <c r="AP23" i="24"/>
  <c r="P69" i="24"/>
  <c r="P70" i="24"/>
  <c r="P97" i="24"/>
  <c r="Q92" i="24"/>
  <c r="R92" i="24" s="1"/>
  <c r="P74" i="24"/>
  <c r="Q74" i="24"/>
  <c r="R74" i="24" s="1"/>
  <c r="Q72" i="24"/>
  <c r="R72" i="24" s="1"/>
  <c r="P29" i="24"/>
  <c r="Q29" i="24"/>
  <c r="R29" i="24" s="1"/>
  <c r="Q56" i="24"/>
  <c r="R56" i="24" s="1"/>
  <c r="P14" i="24"/>
  <c r="Q14" i="24"/>
  <c r="R14" i="24" s="1"/>
  <c r="Q50" i="24"/>
  <c r="R50" i="24" s="1"/>
  <c r="Q31" i="24"/>
  <c r="R31" i="24" s="1"/>
  <c r="AP96" i="24"/>
  <c r="Q96" i="24"/>
  <c r="R96" i="24" s="1"/>
  <c r="P73" i="24"/>
  <c r="AP19" i="24"/>
  <c r="AP70" i="24"/>
  <c r="AP21" i="24"/>
  <c r="AP73" i="24"/>
  <c r="AP68" i="24"/>
  <c r="P23" i="24"/>
  <c r="P21" i="24"/>
  <c r="Q91" i="24"/>
  <c r="R91" i="24" s="1"/>
  <c r="P83" i="24"/>
  <c r="Q83" i="24"/>
  <c r="R83" i="24" s="1"/>
  <c r="P36" i="24"/>
  <c r="Q36" i="24"/>
  <c r="Q89" i="24"/>
  <c r="R89" i="24" s="1"/>
  <c r="AP82" i="24"/>
  <c r="Q82" i="24"/>
  <c r="R82" i="24" s="1"/>
  <c r="P18" i="24"/>
  <c r="Q18" i="24"/>
  <c r="R18" i="24" s="1"/>
  <c r="Q60" i="24"/>
  <c r="R60" i="24" s="1"/>
  <c r="Q42" i="24"/>
  <c r="R42" i="24" s="1"/>
  <c r="Q40" i="24"/>
  <c r="R40" i="24" s="1"/>
  <c r="Q87" i="24"/>
  <c r="R87" i="24" s="1"/>
  <c r="P46" i="24"/>
  <c r="Q46" i="24"/>
  <c r="R46" i="24" s="1"/>
  <c r="P87" i="24"/>
  <c r="P60" i="24"/>
  <c r="P42" i="24"/>
  <c r="P40" i="24"/>
  <c r="R36" i="24"/>
  <c r="P91" i="24"/>
  <c r="J93" i="24"/>
  <c r="W93" i="24" s="1"/>
  <c r="Y93" i="24" s="1"/>
  <c r="Q93" i="24"/>
  <c r="R93" i="24" s="1"/>
  <c r="J80" i="24"/>
  <c r="J35" i="24"/>
  <c r="AI35" i="24" s="1"/>
  <c r="Q35" i="24"/>
  <c r="R35" i="24" s="1"/>
  <c r="J34" i="24"/>
  <c r="AI34" i="24" s="1"/>
  <c r="Q34" i="24"/>
  <c r="R34" i="24" s="1"/>
  <c r="J94" i="24"/>
  <c r="AE94" i="24" s="1"/>
  <c r="AF94" i="24" s="1"/>
  <c r="Q94" i="24"/>
  <c r="R94" i="24" s="1"/>
  <c r="J76" i="24"/>
  <c r="J81" i="24"/>
  <c r="AE81" i="24" s="1"/>
  <c r="AF81" i="24" s="1"/>
  <c r="Q81" i="24"/>
  <c r="R81" i="24" s="1"/>
  <c r="J66" i="24"/>
  <c r="Q66" i="24"/>
  <c r="R66" i="24" s="1"/>
  <c r="J16" i="24"/>
  <c r="W16" i="24" s="1"/>
  <c r="Y16" i="24" s="1"/>
  <c r="P16" i="24"/>
  <c r="J99" i="24"/>
  <c r="AI99" i="24" s="1"/>
  <c r="J17" i="24"/>
  <c r="AP17" i="24"/>
  <c r="J48" i="24"/>
  <c r="W48" i="24" s="1"/>
  <c r="Y48" i="24" s="1"/>
  <c r="Q48" i="24"/>
  <c r="R48" i="24" s="1"/>
  <c r="AP31" i="24"/>
  <c r="J49" i="24"/>
  <c r="AI49" i="24" s="1"/>
  <c r="Q49" i="24"/>
  <c r="R49" i="24" s="1"/>
  <c r="J20" i="24"/>
  <c r="Q20" i="24"/>
  <c r="R20" i="24" s="1"/>
  <c r="J77" i="24"/>
  <c r="AP77" i="24"/>
  <c r="J47" i="24"/>
  <c r="AI47" i="24" s="1"/>
  <c r="J67" i="24"/>
  <c r="P67" i="24"/>
  <c r="J24" i="24"/>
  <c r="Q24" i="24"/>
  <c r="R24" i="24" s="1"/>
  <c r="J8" i="24"/>
  <c r="X8" i="24" s="1"/>
  <c r="AA8" i="24" s="1"/>
  <c r="AB8" i="24" s="1"/>
  <c r="AC8" i="24" s="1"/>
  <c r="Q8" i="24"/>
  <c r="R8" i="24" s="1"/>
  <c r="J90" i="24"/>
  <c r="J88" i="24"/>
  <c r="X88" i="24" s="1"/>
  <c r="AA88" i="24" s="1"/>
  <c r="AB88" i="24" s="1"/>
  <c r="AC88" i="24" s="1"/>
  <c r="P88" i="24"/>
  <c r="P72" i="24"/>
  <c r="P96" i="24"/>
  <c r="AP14" i="24"/>
  <c r="AP92" i="24"/>
  <c r="AP74" i="24"/>
  <c r="AP29" i="24"/>
  <c r="P92" i="24"/>
  <c r="J45" i="24"/>
  <c r="J62" i="24"/>
  <c r="J22" i="24"/>
  <c r="W22" i="24" s="1"/>
  <c r="Y22" i="24" s="1"/>
  <c r="J26" i="24"/>
  <c r="W26" i="24" s="1"/>
  <c r="Y26" i="24" s="1"/>
  <c r="J52" i="24"/>
  <c r="J13" i="24"/>
  <c r="X13" i="24" s="1"/>
  <c r="AA13" i="24" s="1"/>
  <c r="AB13" i="24" s="1"/>
  <c r="AC13" i="24" s="1"/>
  <c r="J15" i="24"/>
  <c r="AI15" i="24" s="1"/>
  <c r="J84" i="24"/>
  <c r="Q84" i="24"/>
  <c r="J9" i="24"/>
  <c r="J37" i="24"/>
  <c r="AI37" i="24" s="1"/>
  <c r="AP37" i="24"/>
  <c r="J38" i="24"/>
  <c r="J39" i="24"/>
  <c r="AP39" i="24"/>
  <c r="J30" i="24"/>
  <c r="Q30" i="24"/>
  <c r="R30" i="24" s="1"/>
  <c r="P31" i="24"/>
  <c r="J12" i="24"/>
  <c r="W12" i="24" s="1"/>
  <c r="Y12" i="24" s="1"/>
  <c r="J65" i="24"/>
  <c r="AI65" i="24" s="1"/>
  <c r="J11" i="24"/>
  <c r="AI11" i="24" s="1"/>
  <c r="J102" i="24"/>
  <c r="AI102" i="24" s="1"/>
  <c r="J71" i="24"/>
  <c r="W71" i="24" s="1"/>
  <c r="Y71" i="24" s="1"/>
  <c r="J44" i="24"/>
  <c r="AE44" i="24" s="1"/>
  <c r="J43" i="24"/>
  <c r="X43" i="24" s="1"/>
  <c r="AA43" i="24" s="1"/>
  <c r="AB43" i="24" s="1"/>
  <c r="AC43" i="24" s="1"/>
  <c r="J103" i="24"/>
  <c r="J58" i="24"/>
  <c r="AI58" i="24" s="1"/>
  <c r="J75" i="24"/>
  <c r="J57" i="24"/>
  <c r="J61" i="24"/>
  <c r="X61" i="24" s="1"/>
  <c r="AA61" i="24" s="1"/>
  <c r="AB61" i="24" s="1"/>
  <c r="AC61" i="24" s="1"/>
  <c r="J98" i="24"/>
  <c r="J6" i="24"/>
  <c r="X6" i="24" s="1"/>
  <c r="AA6" i="24" s="1"/>
  <c r="AB6" i="24" s="1"/>
  <c r="AC6" i="24" s="1"/>
  <c r="J7" i="24"/>
  <c r="AP7" i="24"/>
  <c r="P55" i="24"/>
  <c r="R55" i="24"/>
  <c r="P33" i="24"/>
  <c r="R33" i="24"/>
  <c r="AP76" i="24"/>
  <c r="AP85" i="24"/>
  <c r="R97" i="24"/>
  <c r="AP89" i="24"/>
  <c r="R105" i="24"/>
  <c r="P105" i="24"/>
  <c r="R19" i="24"/>
  <c r="P19" i="24"/>
  <c r="P82" i="24"/>
  <c r="AP97" i="24"/>
  <c r="P86" i="24"/>
  <c r="R86" i="24"/>
  <c r="P54" i="24"/>
  <c r="R54" i="24"/>
  <c r="P20" i="24"/>
  <c r="AP95" i="24"/>
  <c r="P95" i="24"/>
  <c r="P80" i="24"/>
  <c r="P15" i="24"/>
  <c r="AP15" i="24"/>
  <c r="P24" i="24"/>
  <c r="AP24" i="24"/>
  <c r="P50" i="24"/>
  <c r="P47" i="24"/>
  <c r="P9" i="24"/>
  <c r="P90" i="24"/>
  <c r="P17" i="24"/>
  <c r="P38" i="24"/>
  <c r="P30" i="24"/>
  <c r="AP9" i="24"/>
  <c r="AP98" i="24"/>
  <c r="AP50" i="24"/>
  <c r="R51" i="24"/>
  <c r="P51" i="24"/>
  <c r="P59" i="24"/>
  <c r="R59" i="24"/>
  <c r="P89" i="24"/>
  <c r="P76" i="24"/>
  <c r="P66" i="24"/>
  <c r="AP51" i="24"/>
  <c r="AP58" i="24"/>
  <c r="AP66" i="24"/>
  <c r="AP47" i="24"/>
  <c r="AP38" i="24"/>
  <c r="P34" i="24"/>
  <c r="P99" i="24"/>
  <c r="P61" i="24"/>
  <c r="P37" i="24"/>
  <c r="P48" i="24"/>
  <c r="P56" i="24"/>
  <c r="AI64" i="24"/>
  <c r="AE110" i="24"/>
  <c r="AG110" i="24" s="1"/>
  <c r="AI110" i="24"/>
  <c r="AJ110" i="24" s="1"/>
  <c r="W110" i="24"/>
  <c r="Y110" i="24" s="1"/>
  <c r="CB259" i="25"/>
  <c r="CB299" i="24"/>
  <c r="CB276" i="24"/>
  <c r="CB218" i="25"/>
  <c r="CB241" i="24"/>
  <c r="CB263" i="25"/>
  <c r="CB225" i="25"/>
  <c r="CB285" i="25"/>
  <c r="CB303" i="25"/>
  <c r="CB296" i="25"/>
  <c r="CB236" i="25"/>
  <c r="CB231" i="24"/>
  <c r="CB228" i="25"/>
  <c r="CB243" i="25"/>
  <c r="CB266" i="25"/>
  <c r="CB232" i="25"/>
  <c r="CB221" i="25"/>
  <c r="CB229" i="25"/>
  <c r="CB251" i="25"/>
  <c r="CB252" i="25"/>
  <c r="CB315" i="25"/>
  <c r="CB231" i="25"/>
  <c r="CB268" i="25"/>
  <c r="CB220" i="25"/>
  <c r="CB248" i="25"/>
  <c r="CB245" i="25"/>
  <c r="CB262" i="25"/>
  <c r="CB239" i="25"/>
  <c r="CB254" i="25"/>
  <c r="CB226" i="25"/>
  <c r="CB257" i="25"/>
  <c r="CB313" i="25"/>
  <c r="CB250" i="25"/>
  <c r="AJ5" i="24"/>
  <c r="CB234" i="25"/>
  <c r="CB237" i="25"/>
  <c r="CB297" i="25"/>
  <c r="CB316" i="25"/>
  <c r="CB219" i="25"/>
  <c r="CB235" i="25"/>
  <c r="CB222" i="25"/>
  <c r="CB223" i="25"/>
  <c r="CB271" i="25"/>
  <c r="CB258" i="24"/>
  <c r="CB226" i="24"/>
  <c r="CB234" i="24"/>
  <c r="CB243" i="24"/>
  <c r="CB271" i="24"/>
  <c r="CB229" i="24"/>
  <c r="CB247" i="24"/>
  <c r="CB297" i="24"/>
  <c r="CB239" i="24"/>
  <c r="V110" i="25"/>
  <c r="X110" i="25" s="1"/>
  <c r="AG5" i="24"/>
  <c r="AN5" i="24" s="1"/>
  <c r="CB312" i="24"/>
  <c r="CB286" i="24"/>
  <c r="CB305" i="24"/>
  <c r="CB274" i="24"/>
  <c r="CB267" i="24"/>
  <c r="CB311" i="24"/>
  <c r="CB222" i="24"/>
  <c r="CB235" i="24"/>
  <c r="CB295" i="24"/>
  <c r="CB220" i="24"/>
  <c r="CB257" i="24"/>
  <c r="CB242" i="24"/>
  <c r="CB263" i="24"/>
  <c r="CB261" i="24"/>
  <c r="CB316" i="24"/>
  <c r="CB218" i="24"/>
  <c r="CB308" i="24"/>
  <c r="CB266" i="24"/>
  <c r="CB259" i="24"/>
  <c r="CB225" i="24"/>
  <c r="CB269" i="24"/>
  <c r="CB292" i="24"/>
  <c r="CB264" i="24"/>
  <c r="CB288" i="24"/>
  <c r="CB237" i="24"/>
  <c r="CB221" i="24"/>
  <c r="CB272" i="24"/>
  <c r="CB296" i="24"/>
  <c r="CB310" i="24"/>
  <c r="CB254" i="24"/>
  <c r="CB253" i="24"/>
  <c r="CB238" i="24"/>
  <c r="CB248" i="24"/>
  <c r="CB280" i="24"/>
  <c r="CB300" i="24"/>
  <c r="CB232" i="24"/>
  <c r="CB228" i="24"/>
  <c r="CB224" i="24"/>
  <c r="CB281" i="24"/>
  <c r="CB301" i="24"/>
  <c r="CB262" i="24"/>
  <c r="CB223" i="24"/>
  <c r="W110" i="25"/>
  <c r="Z110" i="25" s="1"/>
  <c r="AA110" i="25" s="1"/>
  <c r="AB110" i="25" s="1"/>
  <c r="AI110" i="25" s="1"/>
  <c r="V5" i="25"/>
  <c r="X5" i="25" s="1"/>
  <c r="CB52" i="25"/>
  <c r="CB24" i="25"/>
  <c r="CB10" i="25"/>
  <c r="CB19" i="25"/>
  <c r="CB15" i="25"/>
  <c r="CB30" i="25"/>
  <c r="CB13" i="25"/>
  <c r="CB16" i="25"/>
  <c r="CB8" i="25"/>
  <c r="W5" i="25"/>
  <c r="CB31" i="25"/>
  <c r="CB85" i="25"/>
  <c r="CB34" i="25"/>
  <c r="CB22" i="25"/>
  <c r="CB27" i="25"/>
  <c r="CB68" i="25"/>
  <c r="CB18" i="25"/>
  <c r="CB77" i="25"/>
  <c r="CB57" i="25"/>
  <c r="CB11" i="25"/>
  <c r="CB71" i="25"/>
  <c r="CB23" i="25"/>
  <c r="CB91" i="25"/>
  <c r="CB88" i="25"/>
  <c r="CB28" i="25"/>
  <c r="CB63" i="25"/>
  <c r="CB40" i="25"/>
  <c r="CB41" i="25"/>
  <c r="CB56" i="25"/>
  <c r="CB35" i="25"/>
  <c r="CB9" i="25"/>
  <c r="CB7" i="25"/>
  <c r="CB66" i="25"/>
  <c r="CB62" i="25"/>
  <c r="CB5" i="25"/>
  <c r="AF180" i="25"/>
  <c r="AF300" i="25"/>
  <c r="AF124" i="25"/>
  <c r="AF133" i="25"/>
  <c r="AF197" i="25"/>
  <c r="AF113" i="25"/>
  <c r="AF122" i="25"/>
  <c r="AF173" i="25"/>
  <c r="AF240" i="25"/>
  <c r="AF120" i="25"/>
  <c r="AF315" i="25"/>
  <c r="AF117" i="25"/>
  <c r="AF142" i="25"/>
  <c r="AF242" i="25"/>
  <c r="AF208" i="25"/>
  <c r="AF218" i="25"/>
  <c r="AF157" i="25"/>
  <c r="AF228" i="25"/>
  <c r="AF203" i="25"/>
  <c r="AF291" i="25"/>
  <c r="AF287" i="25"/>
  <c r="AF159" i="25"/>
  <c r="AF191" i="25"/>
  <c r="AF210" i="25"/>
  <c r="AF252" i="25"/>
  <c r="AF303" i="25"/>
  <c r="AF130" i="25"/>
  <c r="AF202" i="25"/>
  <c r="AF299" i="25"/>
  <c r="AF166" i="25"/>
  <c r="AF198" i="25"/>
  <c r="AF286" i="25"/>
  <c r="AF127" i="25"/>
  <c r="AF194" i="25"/>
  <c r="AF247" i="25"/>
  <c r="AF132" i="25"/>
  <c r="AF196" i="25"/>
  <c r="AF201" i="25"/>
  <c r="AF188" i="25"/>
  <c r="AF279" i="25"/>
  <c r="AF209" i="25"/>
  <c r="AF136" i="25"/>
  <c r="AF152" i="25"/>
  <c r="AF184" i="25"/>
  <c r="AF311" i="25"/>
  <c r="AF313" i="25"/>
  <c r="AF168" i="25"/>
  <c r="AF187" i="25"/>
  <c r="AF151" i="25"/>
  <c r="AF294" i="25"/>
  <c r="AF167" i="25"/>
  <c r="AF254" i="25"/>
  <c r="AF259" i="25"/>
  <c r="AF256" i="25"/>
  <c r="AF284" i="25"/>
  <c r="AF114" i="25"/>
  <c r="AF263" i="25"/>
  <c r="AF200" i="25"/>
  <c r="AF302" i="25"/>
  <c r="AF312" i="25"/>
  <c r="AF225" i="25"/>
  <c r="AF219" i="25"/>
  <c r="AF131" i="25"/>
  <c r="AF172" i="25"/>
  <c r="AF271" i="25"/>
  <c r="AF176" i="25"/>
  <c r="AF222" i="25"/>
  <c r="AF217" i="25"/>
  <c r="AF199" i="25"/>
  <c r="AF316" i="25"/>
  <c r="AF293" i="25"/>
  <c r="AF281" i="25"/>
  <c r="AF226" i="25"/>
  <c r="AF241" i="25"/>
  <c r="AF236" i="25"/>
  <c r="AF268" i="25"/>
  <c r="AF234" i="25"/>
  <c r="AF266" i="25"/>
  <c r="AF244" i="25"/>
  <c r="AF285" i="25"/>
  <c r="AF273" i="25"/>
  <c r="AF237" i="25"/>
  <c r="AF276" i="25"/>
  <c r="AF255" i="25"/>
  <c r="AF253" i="25"/>
  <c r="AF164" i="25"/>
  <c r="AF156" i="25"/>
  <c r="AF128" i="25"/>
  <c r="AF144" i="25"/>
  <c r="AF160" i="25"/>
  <c r="AF192" i="25"/>
  <c r="AF310" i="25"/>
  <c r="AF314" i="25"/>
  <c r="AF267" i="25"/>
  <c r="AF231" i="25"/>
  <c r="AF181" i="25"/>
  <c r="AF158" i="25"/>
  <c r="AF245" i="25"/>
  <c r="AF306" i="25"/>
  <c r="AF125" i="25"/>
  <c r="AF126" i="25"/>
  <c r="AF305" i="25"/>
  <c r="AF38" i="25"/>
  <c r="AF146" i="25"/>
  <c r="AF207" i="25"/>
  <c r="AF280" i="25"/>
  <c r="AF246" i="25"/>
  <c r="AF239" i="25"/>
  <c r="AF24" i="25"/>
  <c r="AF260" i="25"/>
  <c r="AF137" i="25"/>
  <c r="AF169" i="25"/>
  <c r="AF162" i="25"/>
  <c r="AF216" i="25"/>
  <c r="AF223" i="25"/>
  <c r="AF248" i="25"/>
  <c r="AF235" i="25"/>
  <c r="AF155" i="25"/>
  <c r="AF138" i="25"/>
  <c r="AF170" i="25"/>
  <c r="AF264" i="25"/>
  <c r="AF309" i="25"/>
  <c r="AF257" i="25"/>
  <c r="AF141" i="25"/>
  <c r="AF206" i="25"/>
  <c r="AF283" i="25"/>
  <c r="AF243" i="25"/>
  <c r="AF139" i="25"/>
  <c r="AF274" i="25"/>
  <c r="AF258" i="25"/>
  <c r="AF297" i="25"/>
  <c r="AF183" i="25"/>
  <c r="AF308" i="25"/>
  <c r="AF112" i="25"/>
  <c r="AF224" i="25"/>
  <c r="AF233" i="25"/>
  <c r="AF227" i="25"/>
  <c r="AF296" i="25"/>
  <c r="AF189" i="25"/>
  <c r="AF262" i="25"/>
  <c r="AF249" i="25"/>
  <c r="AF129" i="25"/>
  <c r="AF145" i="25"/>
  <c r="AF161" i="25"/>
  <c r="AF177" i="25"/>
  <c r="AF193" i="25"/>
  <c r="AF150" i="25"/>
  <c r="AF182" i="25"/>
  <c r="AF270" i="25"/>
  <c r="AF147" i="25"/>
  <c r="AF265" i="25"/>
  <c r="AF171" i="25"/>
  <c r="AF292" i="25"/>
  <c r="AF195" i="25"/>
  <c r="AF282" i="25"/>
  <c r="AF289" i="25"/>
  <c r="AF154" i="25"/>
  <c r="AF186" i="25"/>
  <c r="AF123" i="25"/>
  <c r="AF232" i="25"/>
  <c r="AF238" i="25"/>
  <c r="AF204" i="25"/>
  <c r="AF121" i="25"/>
  <c r="AF290" i="25"/>
  <c r="AF190" i="25"/>
  <c r="AF88" i="25"/>
  <c r="AF230" i="25"/>
  <c r="AF135" i="25"/>
  <c r="AF304" i="25"/>
  <c r="AF251" i="25"/>
  <c r="AF149" i="25"/>
  <c r="AF301" i="25"/>
  <c r="AF295" i="25"/>
  <c r="AF221" i="25"/>
  <c r="AF272" i="25"/>
  <c r="AF115" i="25"/>
  <c r="AF178" i="25"/>
  <c r="AF46" i="25"/>
  <c r="AF179" i="25"/>
  <c r="AF250" i="25"/>
  <c r="AF118" i="25"/>
  <c r="AF220" i="25"/>
  <c r="AF119" i="25"/>
  <c r="AF153" i="25"/>
  <c r="AF185" i="25"/>
  <c r="AF298" i="25"/>
  <c r="AF261" i="25"/>
  <c r="AF277" i="25"/>
  <c r="AF148" i="25"/>
  <c r="AF140" i="25"/>
  <c r="AF111" i="25"/>
  <c r="AF288" i="25"/>
  <c r="AF269" i="25"/>
  <c r="AF307" i="25"/>
  <c r="AF116" i="25"/>
  <c r="AF229" i="25"/>
  <c r="AF174" i="25"/>
  <c r="AF205" i="25"/>
  <c r="AF275" i="25"/>
  <c r="AF165" i="25"/>
  <c r="AF278" i="25"/>
  <c r="AF143" i="25"/>
  <c r="AF175" i="25"/>
  <c r="AF134" i="25"/>
  <c r="AF163" i="25"/>
  <c r="AF39" i="25"/>
  <c r="AF65" i="25"/>
  <c r="AF33" i="25"/>
  <c r="AF19" i="25"/>
  <c r="AF53" i="25"/>
  <c r="AF94" i="25"/>
  <c r="AF102" i="25"/>
  <c r="AF69" i="25"/>
  <c r="AF28" i="25"/>
  <c r="AF79" i="25"/>
  <c r="AF29" i="25"/>
  <c r="AF85" i="25"/>
  <c r="AF41" i="25"/>
  <c r="AF75" i="25"/>
  <c r="AF91" i="25"/>
  <c r="AF95" i="25"/>
  <c r="AF16" i="25"/>
  <c r="AF93" i="25"/>
  <c r="AF97" i="25"/>
  <c r="AF101" i="25"/>
  <c r="AF105" i="25"/>
  <c r="AF45" i="25"/>
  <c r="AF58" i="25"/>
  <c r="AF43" i="25"/>
  <c r="AF56" i="25"/>
  <c r="AF86" i="25"/>
  <c r="AF13" i="25"/>
  <c r="AF71" i="25"/>
  <c r="AF72" i="25"/>
  <c r="AF87" i="25"/>
  <c r="AF21" i="25"/>
  <c r="AF98" i="25"/>
  <c r="AF89" i="25"/>
  <c r="AF6" i="25"/>
  <c r="AF10" i="25"/>
  <c r="AF61" i="25"/>
  <c r="AF15" i="25"/>
  <c r="AF67" i="25"/>
  <c r="AF54" i="25"/>
  <c r="AF26" i="25"/>
  <c r="AF32" i="25"/>
  <c r="AF103" i="25"/>
  <c r="AF81" i="25"/>
  <c r="AF99" i="25"/>
  <c r="AF37" i="25"/>
  <c r="AF20" i="25"/>
  <c r="AF70" i="25"/>
  <c r="AF74" i="25"/>
  <c r="AF18" i="25"/>
  <c r="AF42" i="25"/>
  <c r="AF48" i="25"/>
  <c r="AF80" i="25"/>
  <c r="AF78" i="25"/>
  <c r="AF27" i="25"/>
  <c r="AF47" i="25"/>
  <c r="AF63" i="25"/>
  <c r="AF57" i="25"/>
  <c r="AF73" i="25"/>
  <c r="AF31" i="25"/>
  <c r="AF51" i="25"/>
  <c r="AF92" i="25"/>
  <c r="AF104" i="25"/>
  <c r="AF52" i="25"/>
  <c r="AF82" i="25"/>
  <c r="AF60" i="25"/>
  <c r="AF90" i="25"/>
  <c r="AF66" i="25"/>
  <c r="AF76" i="25"/>
  <c r="AF30" i="25"/>
  <c r="AF8" i="25"/>
  <c r="AF17" i="25"/>
  <c r="AF34" i="25"/>
  <c r="AF23" i="25"/>
  <c r="AF50" i="25"/>
  <c r="AF59" i="25"/>
  <c r="AF44" i="25"/>
  <c r="AF40" i="25"/>
  <c r="AF22" i="25"/>
  <c r="AF35" i="25"/>
  <c r="AF12" i="25"/>
  <c r="AF64" i="25"/>
  <c r="AF62" i="25"/>
  <c r="AF14" i="25"/>
  <c r="AF25" i="25"/>
  <c r="AF77" i="25"/>
  <c r="AF7" i="25"/>
  <c r="AF11" i="25"/>
  <c r="AF83" i="25"/>
  <c r="AF49" i="25"/>
  <c r="AF84" i="25"/>
  <c r="AF55" i="25"/>
  <c r="AF96" i="25"/>
  <c r="AF100" i="25"/>
  <c r="AF9" i="25"/>
  <c r="AF36" i="25"/>
  <c r="AF68" i="25"/>
  <c r="AB277" i="25"/>
  <c r="AI277" i="25" s="1"/>
  <c r="AS277" i="25" s="1"/>
  <c r="AB232" i="25"/>
  <c r="AI232" i="25" s="1"/>
  <c r="AS232" i="25" s="1"/>
  <c r="AB238" i="25"/>
  <c r="AI238" i="25" s="1"/>
  <c r="AS238" i="25" s="1"/>
  <c r="AB204" i="25"/>
  <c r="AI204" i="25" s="1"/>
  <c r="AB197" i="25"/>
  <c r="AI197" i="25" s="1"/>
  <c r="AB122" i="25"/>
  <c r="AI122" i="25" s="1"/>
  <c r="AB294" i="25"/>
  <c r="AI294" i="25" s="1"/>
  <c r="AS294" i="25" s="1"/>
  <c r="AB117" i="25"/>
  <c r="AI117" i="25" s="1"/>
  <c r="AB243" i="25"/>
  <c r="AI243" i="25" s="1"/>
  <c r="AS243" i="25" s="1"/>
  <c r="AB139" i="25"/>
  <c r="AI139" i="25" s="1"/>
  <c r="AB301" i="25"/>
  <c r="AI301" i="25" s="1"/>
  <c r="AS301" i="25" s="1"/>
  <c r="AB259" i="25"/>
  <c r="AI259" i="25" s="1"/>
  <c r="AS259" i="25" s="1"/>
  <c r="AB226" i="25"/>
  <c r="AI226" i="25" s="1"/>
  <c r="AS226" i="25" s="1"/>
  <c r="AB112" i="25"/>
  <c r="AI112" i="25" s="1"/>
  <c r="AB128" i="25"/>
  <c r="AI128" i="25" s="1"/>
  <c r="AB144" i="25"/>
  <c r="AI144" i="25" s="1"/>
  <c r="AB160" i="25"/>
  <c r="AI160" i="25" s="1"/>
  <c r="AB229" i="25"/>
  <c r="AI229" i="25" s="1"/>
  <c r="AS229" i="25" s="1"/>
  <c r="AB287" i="25"/>
  <c r="AI287" i="25" s="1"/>
  <c r="AS287" i="25" s="1"/>
  <c r="AB159" i="25"/>
  <c r="AI159" i="25" s="1"/>
  <c r="AB191" i="25"/>
  <c r="AI191" i="25" s="1"/>
  <c r="AB249" i="25"/>
  <c r="AI249" i="25" s="1"/>
  <c r="AS249" i="25" s="1"/>
  <c r="AB129" i="25"/>
  <c r="AI129" i="25" s="1"/>
  <c r="AB193" i="25"/>
  <c r="AI193" i="25" s="1"/>
  <c r="AB250" i="25"/>
  <c r="AI250" i="25" s="1"/>
  <c r="AS250" i="25" s="1"/>
  <c r="AB311" i="25"/>
  <c r="AI311" i="25" s="1"/>
  <c r="AS311" i="25" s="1"/>
  <c r="AB260" i="25"/>
  <c r="AI260" i="25" s="1"/>
  <c r="AS260" i="25" s="1"/>
  <c r="AB219" i="25"/>
  <c r="AI219" i="25" s="1"/>
  <c r="AS219" i="25" s="1"/>
  <c r="AB187" i="25"/>
  <c r="AI187" i="25" s="1"/>
  <c r="AB222" i="25"/>
  <c r="AI222" i="25" s="1"/>
  <c r="AS222" i="25" s="1"/>
  <c r="AB264" i="25"/>
  <c r="AI264" i="25" s="1"/>
  <c r="AS264" i="25" s="1"/>
  <c r="AB290" i="25"/>
  <c r="AI290" i="25" s="1"/>
  <c r="AS290" i="25" s="1"/>
  <c r="AB295" i="25"/>
  <c r="AI295" i="25" s="1"/>
  <c r="AS295" i="25" s="1"/>
  <c r="AB245" i="25"/>
  <c r="AI245" i="25" s="1"/>
  <c r="AS245" i="25" s="1"/>
  <c r="AB125" i="25"/>
  <c r="AI125" i="25" s="1"/>
  <c r="AB192" i="25"/>
  <c r="AI192" i="25" s="1"/>
  <c r="AB307" i="25"/>
  <c r="AI307" i="25" s="1"/>
  <c r="AS307" i="25" s="1"/>
  <c r="AB116" i="25"/>
  <c r="AI116" i="25" s="1"/>
  <c r="AB280" i="25"/>
  <c r="AI280" i="25" s="1"/>
  <c r="AS280" i="25" s="1"/>
  <c r="AB262" i="25"/>
  <c r="AI262" i="25" s="1"/>
  <c r="AS262" i="25" s="1"/>
  <c r="AB244" i="25"/>
  <c r="AI244" i="25" s="1"/>
  <c r="AS244" i="25" s="1"/>
  <c r="AB210" i="25"/>
  <c r="AI210" i="25" s="1"/>
  <c r="AB302" i="25"/>
  <c r="AI302" i="25" s="1"/>
  <c r="AS302" i="25" s="1"/>
  <c r="AB145" i="25"/>
  <c r="AI145" i="25" s="1"/>
  <c r="AB239" i="25"/>
  <c r="AI239" i="25" s="1"/>
  <c r="AS239" i="25" s="1"/>
  <c r="AB270" i="25"/>
  <c r="AI270" i="25" s="1"/>
  <c r="AS270" i="25" s="1"/>
  <c r="AB118" i="25"/>
  <c r="AI118" i="25" s="1"/>
  <c r="AB119" i="25"/>
  <c r="AI119" i="25" s="1"/>
  <c r="AB195" i="25"/>
  <c r="AI195" i="25" s="1"/>
  <c r="AB313" i="25"/>
  <c r="AI313" i="25" s="1"/>
  <c r="AS313" i="25" s="1"/>
  <c r="AB267" i="25"/>
  <c r="AI267" i="25" s="1"/>
  <c r="AS267" i="25" s="1"/>
  <c r="AB248" i="25"/>
  <c r="AI248" i="25" s="1"/>
  <c r="AS248" i="25" s="1"/>
  <c r="AB235" i="25"/>
  <c r="AI235" i="25" s="1"/>
  <c r="AS235" i="25" s="1"/>
  <c r="AB155" i="25"/>
  <c r="AI155" i="25" s="1"/>
  <c r="AB123" i="25"/>
  <c r="AI123" i="25" s="1"/>
  <c r="AB300" i="25"/>
  <c r="AI300" i="25" s="1"/>
  <c r="AS300" i="25" s="1"/>
  <c r="AB190" i="25"/>
  <c r="AI190" i="25" s="1"/>
  <c r="AB293" i="25"/>
  <c r="AI293" i="25" s="1"/>
  <c r="AS293" i="25" s="1"/>
  <c r="AB141" i="25"/>
  <c r="AI141" i="25" s="1"/>
  <c r="AB206" i="25"/>
  <c r="AI206" i="25" s="1"/>
  <c r="AB304" i="25"/>
  <c r="AI304" i="25" s="1"/>
  <c r="AS304" i="25" s="1"/>
  <c r="AB231" i="25"/>
  <c r="AI231" i="25" s="1"/>
  <c r="AS231" i="25" s="1"/>
  <c r="AB149" i="25"/>
  <c r="AI149" i="25" s="1"/>
  <c r="AB181" i="25"/>
  <c r="AI181" i="25" s="1"/>
  <c r="AB242" i="25"/>
  <c r="AI242" i="25" s="1"/>
  <c r="AS242" i="25" s="1"/>
  <c r="AB208" i="25"/>
  <c r="AI208" i="25" s="1"/>
  <c r="AB218" i="25"/>
  <c r="AI218" i="25" s="1"/>
  <c r="AS218" i="25" s="1"/>
  <c r="AB258" i="25"/>
  <c r="AI258" i="25" s="1"/>
  <c r="AS258" i="25" s="1"/>
  <c r="AB221" i="25"/>
  <c r="AI221" i="25" s="1"/>
  <c r="AS221" i="25" s="1"/>
  <c r="AB136" i="25"/>
  <c r="AI136" i="25" s="1"/>
  <c r="AB152" i="25"/>
  <c r="AI152" i="25" s="1"/>
  <c r="AB146" i="25"/>
  <c r="AI146" i="25" s="1"/>
  <c r="AB236" i="25"/>
  <c r="AI236" i="25" s="1"/>
  <c r="AS236" i="25" s="1"/>
  <c r="AB268" i="25"/>
  <c r="AI268" i="25" s="1"/>
  <c r="AS268" i="25" s="1"/>
  <c r="AB233" i="25"/>
  <c r="AI233" i="25" s="1"/>
  <c r="AS233" i="25" s="1"/>
  <c r="AB263" i="25"/>
  <c r="AI263" i="25" s="1"/>
  <c r="AS263" i="25" s="1"/>
  <c r="AB296" i="25"/>
  <c r="AI296" i="25" s="1"/>
  <c r="AS296" i="25" s="1"/>
  <c r="AB273" i="25"/>
  <c r="AI273" i="25" s="1"/>
  <c r="AS273" i="25" s="1"/>
  <c r="AB161" i="25"/>
  <c r="AI161" i="25" s="1"/>
  <c r="AB179" i="25"/>
  <c r="AI179" i="25" s="1"/>
  <c r="AB176" i="25"/>
  <c r="AI176" i="25" s="1"/>
  <c r="AB130" i="25"/>
  <c r="AI130" i="25" s="1"/>
  <c r="AB143" i="25"/>
  <c r="AI143" i="25" s="1"/>
  <c r="AB175" i="25"/>
  <c r="AI175" i="25" s="1"/>
  <c r="AB299" i="25"/>
  <c r="AI299" i="25" s="1"/>
  <c r="AS299" i="25" s="1"/>
  <c r="AB163" i="25"/>
  <c r="AI163" i="25" s="1"/>
  <c r="AB223" i="25"/>
  <c r="AI223" i="25" s="1"/>
  <c r="AS223" i="25" s="1"/>
  <c r="AB309" i="25"/>
  <c r="AI309" i="25" s="1"/>
  <c r="AS309" i="25" s="1"/>
  <c r="AB133" i="25"/>
  <c r="AI133" i="25" s="1"/>
  <c r="AB281" i="25"/>
  <c r="AI281" i="25" s="1"/>
  <c r="AS281" i="25" s="1"/>
  <c r="AB228" i="25"/>
  <c r="AI228" i="25" s="1"/>
  <c r="AS228" i="25" s="1"/>
  <c r="AB297" i="25"/>
  <c r="AI297" i="25" s="1"/>
  <c r="AS297" i="25" s="1"/>
  <c r="AB305" i="25"/>
  <c r="AI305" i="25" s="1"/>
  <c r="AS305" i="25" s="1"/>
  <c r="AB227" i="25"/>
  <c r="AI227" i="25" s="1"/>
  <c r="AS227" i="25" s="1"/>
  <c r="AB234" i="25"/>
  <c r="AI234" i="25" s="1"/>
  <c r="AS234" i="25" s="1"/>
  <c r="AB200" i="25"/>
  <c r="AI200" i="25" s="1"/>
  <c r="AB266" i="25"/>
  <c r="AI266" i="25" s="1"/>
  <c r="AS266" i="25" s="1"/>
  <c r="AB174" i="25"/>
  <c r="AI174" i="25" s="1"/>
  <c r="AB246" i="25"/>
  <c r="AI246" i="25" s="1"/>
  <c r="AS246" i="25" s="1"/>
  <c r="AB285" i="25"/>
  <c r="AI285" i="25" s="1"/>
  <c r="AS285" i="25" s="1"/>
  <c r="AB177" i="25"/>
  <c r="AI177" i="25" s="1"/>
  <c r="AB147" i="25"/>
  <c r="AI147" i="25" s="1"/>
  <c r="AB237" i="25"/>
  <c r="AI237" i="25" s="1"/>
  <c r="AS237" i="25" s="1"/>
  <c r="AB252" i="25"/>
  <c r="AI252" i="25" s="1"/>
  <c r="AS252" i="25" s="1"/>
  <c r="AB303" i="25"/>
  <c r="AI303" i="25" s="1"/>
  <c r="AS303" i="25" s="1"/>
  <c r="AB225" i="25"/>
  <c r="AI225" i="25" s="1"/>
  <c r="AS225" i="25" s="1"/>
  <c r="AB131" i="25"/>
  <c r="AI131" i="25" s="1"/>
  <c r="AI70" i="25"/>
  <c r="AI69" i="25"/>
  <c r="AI64" i="25"/>
  <c r="AI11" i="25"/>
  <c r="AI61" i="25"/>
  <c r="AI31" i="25"/>
  <c r="AI51" i="25"/>
  <c r="AI81" i="25"/>
  <c r="AI93" i="25"/>
  <c r="AI97" i="25"/>
  <c r="AI101" i="25"/>
  <c r="AI105" i="25"/>
  <c r="AI86" i="25"/>
  <c r="AI71" i="25"/>
  <c r="AI42" i="25"/>
  <c r="AI28" i="25"/>
  <c r="AI62" i="25"/>
  <c r="AI15" i="25"/>
  <c r="AI67" i="25"/>
  <c r="AI103" i="25"/>
  <c r="AI96" i="25"/>
  <c r="AI100" i="25"/>
  <c r="AI8" i="25"/>
  <c r="AI30" i="25"/>
  <c r="AI20" i="25"/>
  <c r="AI59" i="25"/>
  <c r="AI21" i="25"/>
  <c r="AI48" i="25"/>
  <c r="AI79" i="25"/>
  <c r="AI83" i="25"/>
  <c r="AI41" i="25"/>
  <c r="AI17" i="25"/>
  <c r="AI88" i="25"/>
  <c r="AI53" i="25"/>
  <c r="AI94" i="25"/>
  <c r="AI102" i="25"/>
  <c r="AI22" i="25"/>
  <c r="AI35" i="25"/>
  <c r="AI78" i="25"/>
  <c r="AI27" i="25"/>
  <c r="AI47" i="25"/>
  <c r="AI63" i="25"/>
  <c r="AI92" i="25"/>
  <c r="AI104" i="25"/>
  <c r="AI9" i="25"/>
  <c r="AI52" i="25"/>
  <c r="AI216" i="25"/>
  <c r="AS216" i="25" s="1"/>
  <c r="X76" i="25"/>
  <c r="X73" i="25"/>
  <c r="X75" i="25"/>
  <c r="X111" i="25"/>
  <c r="X316" i="25"/>
  <c r="X45" i="25"/>
  <c r="X86" i="25"/>
  <c r="AI199" i="25"/>
  <c r="X124" i="25"/>
  <c r="X50" i="25"/>
  <c r="X19" i="25"/>
  <c r="X164" i="25"/>
  <c r="X299" i="25"/>
  <c r="AI114" i="25"/>
  <c r="X252" i="25"/>
  <c r="AI278" i="25"/>
  <c r="AS278" i="25" s="1"/>
  <c r="AI138" i="25"/>
  <c r="X125" i="25"/>
  <c r="X225" i="25"/>
  <c r="X72" i="25"/>
  <c r="X33" i="25"/>
  <c r="X17" i="25"/>
  <c r="X23" i="25"/>
  <c r="X98" i="25"/>
  <c r="X20" i="25"/>
  <c r="X277" i="25"/>
  <c r="X172" i="25"/>
  <c r="X44" i="25"/>
  <c r="X132" i="25"/>
  <c r="X196" i="25"/>
  <c r="X122" i="25"/>
  <c r="X204" i="25"/>
  <c r="X79" i="25"/>
  <c r="X24" i="25"/>
  <c r="X60" i="25"/>
  <c r="X49" i="25"/>
  <c r="X171" i="25"/>
  <c r="X208" i="25"/>
  <c r="X269" i="25"/>
  <c r="X300" i="25"/>
  <c r="X18" i="25"/>
  <c r="X99" i="25"/>
  <c r="X83" i="25"/>
  <c r="X179" i="25"/>
  <c r="X136" i="25"/>
  <c r="X184" i="25"/>
  <c r="X41" i="25"/>
  <c r="X81" i="25"/>
  <c r="X29" i="25"/>
  <c r="X85" i="25"/>
  <c r="X31" i="25"/>
  <c r="X96" i="25"/>
  <c r="X104" i="25"/>
  <c r="X313" i="25"/>
  <c r="X144" i="25"/>
  <c r="AI196" i="25"/>
  <c r="X52" i="25"/>
  <c r="X84" i="25"/>
  <c r="X147" i="25"/>
  <c r="X152" i="25"/>
  <c r="X153" i="25"/>
  <c r="X182" i="25"/>
  <c r="X149" i="25"/>
  <c r="X46" i="25"/>
  <c r="X68" i="25"/>
  <c r="X82" i="25"/>
  <c r="X70" i="25"/>
  <c r="X209" i="25"/>
  <c r="X315" i="25"/>
  <c r="X54" i="25"/>
  <c r="X16" i="25"/>
  <c r="X32" i="25"/>
  <c r="X67" i="25"/>
  <c r="X200" i="25"/>
  <c r="AI312" i="25"/>
  <c r="AS312" i="25" s="1"/>
  <c r="AI310" i="25"/>
  <c r="AS310" i="25" s="1"/>
  <c r="AI24" i="25"/>
  <c r="X57" i="25"/>
  <c r="X61" i="25"/>
  <c r="X92" i="25"/>
  <c r="X100" i="25"/>
  <c r="AI36" i="25"/>
  <c r="AI68" i="25"/>
  <c r="AI253" i="25"/>
  <c r="AS253" i="25" s="1"/>
  <c r="AI207" i="25"/>
  <c r="AI201" i="25"/>
  <c r="X290" i="25"/>
  <c r="AI76" i="25"/>
  <c r="X288" i="25"/>
  <c r="AI14" i="25"/>
  <c r="X224" i="25"/>
  <c r="X284" i="25"/>
  <c r="AI38" i="25"/>
  <c r="X174" i="25"/>
  <c r="AI54" i="25"/>
  <c r="X146" i="25"/>
  <c r="X253" i="25"/>
  <c r="AI275" i="25"/>
  <c r="AS275" i="25" s="1"/>
  <c r="AI82" i="25"/>
  <c r="X236" i="25"/>
  <c r="X263" i="25"/>
  <c r="AI168" i="25"/>
  <c r="AI156" i="25"/>
  <c r="AI172" i="25"/>
  <c r="AI132" i="25"/>
  <c r="AI180" i="25"/>
  <c r="AI37" i="25"/>
  <c r="AI56" i="25"/>
  <c r="AI279" i="25"/>
  <c r="AS279" i="25" s="1"/>
  <c r="AI44" i="25"/>
  <c r="AI274" i="25"/>
  <c r="AS274" i="25" s="1"/>
  <c r="AI6" i="25"/>
  <c r="AI298" i="25"/>
  <c r="AS298" i="25" s="1"/>
  <c r="X87" i="25"/>
  <c r="X183" i="25"/>
  <c r="AI135" i="25"/>
  <c r="X308" i="25"/>
  <c r="X121" i="25"/>
  <c r="X155" i="25"/>
  <c r="X37" i="25"/>
  <c r="X123" i="25"/>
  <c r="X180" i="25"/>
  <c r="AI87" i="25"/>
  <c r="X165" i="25"/>
  <c r="X189" i="25"/>
  <c r="AI142" i="25"/>
  <c r="X258" i="25"/>
  <c r="X245" i="25"/>
  <c r="X12" i="25"/>
  <c r="X43" i="25"/>
  <c r="X231" i="25"/>
  <c r="X243" i="25"/>
  <c r="X301" i="25"/>
  <c r="X22" i="25"/>
  <c r="X42" i="25"/>
  <c r="X78" i="25"/>
  <c r="X114" i="25"/>
  <c r="X115" i="25"/>
  <c r="AI288" i="25"/>
  <c r="AS288" i="25" s="1"/>
  <c r="AI115" i="25"/>
  <c r="X168" i="25"/>
  <c r="X178" i="25"/>
  <c r="AI271" i="25"/>
  <c r="AS271" i="25" s="1"/>
  <c r="X7" i="25"/>
  <c r="X11" i="25"/>
  <c r="AI29" i="25"/>
  <c r="X273" i="25"/>
  <c r="X307" i="25"/>
  <c r="AI26" i="25"/>
  <c r="X118" i="25"/>
  <c r="X304" i="25"/>
  <c r="X278" i="25"/>
  <c r="X303" i="25"/>
  <c r="X221" i="25"/>
  <c r="X163" i="25"/>
  <c r="X210" i="25"/>
  <c r="X233" i="25"/>
  <c r="X271" i="25"/>
  <c r="X62" i="25"/>
  <c r="AI162" i="25"/>
  <c r="X205" i="25"/>
  <c r="X186" i="25"/>
  <c r="X240" i="25"/>
  <c r="X58" i="25"/>
  <c r="X74" i="25"/>
  <c r="AI13" i="25"/>
  <c r="AI230" i="25"/>
  <c r="AS230" i="25" s="1"/>
  <c r="X167" i="25"/>
  <c r="X187" i="25"/>
  <c r="X30" i="25"/>
  <c r="X113" i="25"/>
  <c r="X274" i="25"/>
  <c r="X156" i="25"/>
  <c r="X295" i="25"/>
  <c r="X228" i="25"/>
  <c r="X21" i="25"/>
  <c r="AI158" i="25"/>
  <c r="AI40" i="25"/>
  <c r="AI12" i="25"/>
  <c r="X112" i="25"/>
  <c r="X27" i="25"/>
  <c r="X47" i="25"/>
  <c r="X63" i="25"/>
  <c r="X126" i="25"/>
  <c r="X203" i="25"/>
  <c r="X306" i="25"/>
  <c r="X35" i="25"/>
  <c r="X80" i="25"/>
  <c r="X151" i="25"/>
  <c r="X25" i="25"/>
  <c r="X176" i="25"/>
  <c r="X36" i="25"/>
  <c r="X66" i="25"/>
  <c r="X239" i="25"/>
  <c r="X275" i="25"/>
  <c r="AI49" i="25"/>
  <c r="X272" i="25"/>
  <c r="X202" i="25"/>
  <c r="X310" i="25"/>
  <c r="X266" i="25"/>
  <c r="X314" i="25"/>
  <c r="X94" i="25"/>
  <c r="X103" i="25"/>
  <c r="X160" i="25"/>
  <c r="X15" i="25"/>
  <c r="X131" i="25"/>
  <c r="X195" i="25"/>
  <c r="AI91" i="25"/>
  <c r="X302" i="25"/>
  <c r="X166" i="25"/>
  <c r="AI255" i="25"/>
  <c r="AS255" i="25" s="1"/>
  <c r="X234" i="25"/>
  <c r="X192" i="25"/>
  <c r="AI154" i="25"/>
  <c r="X217" i="25"/>
  <c r="AI121" i="25"/>
  <c r="AI124" i="25"/>
  <c r="X283" i="25"/>
  <c r="X257" i="25"/>
  <c r="AI72" i="25"/>
  <c r="X235" i="25"/>
  <c r="AI241" i="25"/>
  <c r="AS241" i="25" s="1"/>
  <c r="AI126" i="25"/>
  <c r="X281" i="25"/>
  <c r="AI77" i="25"/>
  <c r="X244" i="25"/>
  <c r="AI85" i="25"/>
  <c r="X162" i="25"/>
  <c r="AI291" i="25"/>
  <c r="AS291" i="25" s="1"/>
  <c r="X262" i="25"/>
  <c r="X169" i="25"/>
  <c r="X247" i="25"/>
  <c r="AI165" i="25"/>
  <c r="X255" i="25"/>
  <c r="AI202" i="25"/>
  <c r="X129" i="25"/>
  <c r="X161" i="25"/>
  <c r="X177" i="25"/>
  <c r="X193" i="25"/>
  <c r="AI286" i="25"/>
  <c r="AS286" i="25" s="1"/>
  <c r="AI148" i="25"/>
  <c r="AI186" i="25"/>
  <c r="X230" i="25"/>
  <c r="AI188" i="25"/>
  <c r="X138" i="25"/>
  <c r="X254" i="25"/>
  <c r="X241" i="25"/>
  <c r="X267" i="25"/>
  <c r="X8" i="25"/>
  <c r="AI113" i="25"/>
  <c r="AI217" i="25"/>
  <c r="AS217" i="25" s="1"/>
  <c r="X157" i="25"/>
  <c r="X158" i="25"/>
  <c r="AI316" i="25"/>
  <c r="AS316" i="25" s="1"/>
  <c r="AI34" i="25"/>
  <c r="AI120" i="25"/>
  <c r="X248" i="25"/>
  <c r="AI167" i="25"/>
  <c r="AI283" i="25"/>
  <c r="AS283" i="25" s="1"/>
  <c r="AI18" i="25"/>
  <c r="X142" i="25"/>
  <c r="AI209" i="25"/>
  <c r="X297" i="25"/>
  <c r="X6" i="25"/>
  <c r="X226" i="25"/>
  <c r="X232" i="25"/>
  <c r="AI306" i="25"/>
  <c r="AS306" i="25" s="1"/>
  <c r="X141" i="25"/>
  <c r="X222" i="25"/>
  <c r="AI256" i="25"/>
  <c r="AS256" i="25" s="1"/>
  <c r="AI308" i="25"/>
  <c r="AS308" i="25" s="1"/>
  <c r="AI284" i="25"/>
  <c r="AS284" i="25" s="1"/>
  <c r="AI203" i="25"/>
  <c r="AI272" i="25"/>
  <c r="AS272" i="25" s="1"/>
  <c r="AI57" i="25"/>
  <c r="AI224" i="25"/>
  <c r="AS224" i="25" s="1"/>
  <c r="AI184" i="25"/>
  <c r="AI178" i="25"/>
  <c r="X207" i="25"/>
  <c r="AI7" i="25"/>
  <c r="X250" i="25"/>
  <c r="X237" i="25"/>
  <c r="AI189" i="25"/>
  <c r="AI32" i="25"/>
  <c r="X298" i="25"/>
  <c r="AI55" i="25"/>
  <c r="X130" i="25"/>
  <c r="X268" i="25"/>
  <c r="X185" i="25"/>
  <c r="AI182" i="25"/>
  <c r="X289" i="25"/>
  <c r="AI265" i="25"/>
  <c r="AS265" i="25" s="1"/>
  <c r="AI220" i="25"/>
  <c r="AS220" i="25" s="1"/>
  <c r="AI60" i="25"/>
  <c r="X117" i="25"/>
  <c r="X181" i="25"/>
  <c r="AI137" i="25"/>
  <c r="AI153" i="25"/>
  <c r="AI169" i="25"/>
  <c r="AI185" i="25"/>
  <c r="AI166" i="25"/>
  <c r="X229" i="25"/>
  <c r="X296" i="25"/>
  <c r="AI261" i="25"/>
  <c r="AS261" i="25" s="1"/>
  <c r="AI194" i="25"/>
  <c r="AI16" i="25"/>
  <c r="AI247" i="25"/>
  <c r="AS247" i="25" s="1"/>
  <c r="AI289" i="25"/>
  <c r="AS289" i="25" s="1"/>
  <c r="AI282" i="25"/>
  <c r="AS282" i="25" s="1"/>
  <c r="X251" i="25"/>
  <c r="AI170" i="25"/>
  <c r="X223" i="25"/>
  <c r="AI39" i="25"/>
  <c r="X264" i="25"/>
  <c r="AI240" i="25"/>
  <c r="AS240" i="25" s="1"/>
  <c r="X190" i="25"/>
  <c r="AI33" i="25"/>
  <c r="AI19" i="25"/>
  <c r="AI157" i="25"/>
  <c r="X291" i="25"/>
  <c r="X261" i="25"/>
  <c r="AI183" i="25"/>
  <c r="X242" i="25"/>
  <c r="AI10" i="25"/>
  <c r="AI269" i="25"/>
  <c r="AS269" i="25" s="1"/>
  <c r="X287" i="25"/>
  <c r="X249" i="25"/>
  <c r="AI84" i="25"/>
  <c r="X282" i="25"/>
  <c r="AI150" i="25"/>
  <c r="X220" i="25"/>
  <c r="X194" i="25"/>
  <c r="AI75" i="25"/>
  <c r="X145" i="25"/>
  <c r="AI134" i="25"/>
  <c r="X198" i="25"/>
  <c r="AI90" i="25"/>
  <c r="X219" i="25"/>
  <c r="X56" i="25"/>
  <c r="X13" i="25"/>
  <c r="X65" i="25"/>
  <c r="X93" i="25"/>
  <c r="X97" i="25"/>
  <c r="X101" i="25"/>
  <c r="X105" i="25"/>
  <c r="AI164" i="25"/>
  <c r="X154" i="25"/>
  <c r="X256" i="25"/>
  <c r="X14" i="25"/>
  <c r="X89" i="25"/>
  <c r="X40" i="25"/>
  <c r="X71" i="25"/>
  <c r="AI140" i="25"/>
  <c r="X170" i="25"/>
  <c r="X309" i="25"/>
  <c r="X279" i="25"/>
  <c r="X38" i="25"/>
  <c r="X173" i="25"/>
  <c r="X201" i="25"/>
  <c r="AI45" i="25"/>
  <c r="X88" i="25"/>
  <c r="X120" i="25"/>
  <c r="X140" i="25"/>
  <c r="AI151" i="25"/>
  <c r="X294" i="25"/>
  <c r="AI58" i="25"/>
  <c r="AI43" i="25"/>
  <c r="AI111" i="25"/>
  <c r="AI173" i="25"/>
  <c r="AI65" i="25"/>
  <c r="X55" i="25"/>
  <c r="X238" i="25"/>
  <c r="AI257" i="25"/>
  <c r="AS257" i="25" s="1"/>
  <c r="AI23" i="25"/>
  <c r="X133" i="25"/>
  <c r="X197" i="25"/>
  <c r="X148" i="25"/>
  <c r="X135" i="25"/>
  <c r="AI315" i="25"/>
  <c r="AS315" i="25" s="1"/>
  <c r="X34" i="25"/>
  <c r="AI74" i="25"/>
  <c r="AI251" i="25"/>
  <c r="AS251" i="25" s="1"/>
  <c r="AI50" i="25"/>
  <c r="AI254" i="25"/>
  <c r="AS254" i="25" s="1"/>
  <c r="X293" i="25"/>
  <c r="X53" i="25"/>
  <c r="X90" i="25"/>
  <c r="X59" i="25"/>
  <c r="X127" i="25"/>
  <c r="X259" i="25"/>
  <c r="X69" i="25"/>
  <c r="X28" i="25"/>
  <c r="X39" i="25"/>
  <c r="X206" i="25"/>
  <c r="X305" i="25"/>
  <c r="X48" i="25"/>
  <c r="AI80" i="25"/>
  <c r="AI98" i="25"/>
  <c r="AI89" i="25"/>
  <c r="X9" i="25"/>
  <c r="X139" i="25"/>
  <c r="X10" i="25"/>
  <c r="AI25" i="25"/>
  <c r="X218" i="25"/>
  <c r="AI73" i="25"/>
  <c r="X199" i="25"/>
  <c r="X95" i="25"/>
  <c r="X246" i="25"/>
  <c r="X285" i="25"/>
  <c r="X26" i="25"/>
  <c r="X51" i="25"/>
  <c r="X102" i="25"/>
  <c r="X276" i="25"/>
  <c r="AI46" i="25"/>
  <c r="X116" i="25"/>
  <c r="X119" i="25"/>
  <c r="X91" i="25"/>
  <c r="X143" i="25"/>
  <c r="X175" i="25"/>
  <c r="X265" i="25"/>
  <c r="X312" i="25"/>
  <c r="X137" i="25"/>
  <c r="X150" i="25"/>
  <c r="X270" i="25"/>
  <c r="AI205" i="25"/>
  <c r="X77" i="25"/>
  <c r="X128" i="25"/>
  <c r="X286" i="25"/>
  <c r="X188" i="25"/>
  <c r="AI171" i="25"/>
  <c r="X64" i="25"/>
  <c r="AI99" i="25"/>
  <c r="X159" i="25"/>
  <c r="X191" i="25"/>
  <c r="AI276" i="25"/>
  <c r="AS276" i="25" s="1"/>
  <c r="AI292" i="25"/>
  <c r="AS292" i="25" s="1"/>
  <c r="X227" i="25"/>
  <c r="X134" i="25"/>
  <c r="AI198" i="25"/>
  <c r="X280" i="25"/>
  <c r="X311" i="25"/>
  <c r="AI314" i="25"/>
  <c r="AS314" i="25" s="1"/>
  <c r="AI127" i="25"/>
  <c r="AI95" i="25"/>
  <c r="X260" i="25"/>
  <c r="X292" i="25"/>
  <c r="AI66" i="25"/>
  <c r="AJ197" i="24"/>
  <c r="AJ127" i="24"/>
  <c r="Y200" i="24"/>
  <c r="Y123" i="24"/>
  <c r="Y310" i="24"/>
  <c r="AJ288" i="24"/>
  <c r="AT288" i="24" s="1"/>
  <c r="Y124" i="24"/>
  <c r="AJ121" i="24"/>
  <c r="Y126" i="24"/>
  <c r="Y160" i="24"/>
  <c r="Y140" i="24"/>
  <c r="Y197" i="24"/>
  <c r="Y173" i="24"/>
  <c r="AJ272" i="24"/>
  <c r="AT272" i="24" s="1"/>
  <c r="AJ256" i="24"/>
  <c r="AT256" i="24" s="1"/>
  <c r="AJ310" i="24"/>
  <c r="AT310" i="24" s="1"/>
  <c r="AJ229" i="24"/>
  <c r="AT229" i="24" s="1"/>
  <c r="AJ224" i="24"/>
  <c r="AT224" i="24" s="1"/>
  <c r="AJ111" i="24"/>
  <c r="AJ268" i="24"/>
  <c r="AT268" i="24" s="1"/>
  <c r="Y112" i="24"/>
  <c r="Y111" i="24"/>
  <c r="Y201" i="24"/>
  <c r="AG140" i="24"/>
  <c r="AF140" i="24"/>
  <c r="AF155" i="24"/>
  <c r="Y180" i="24"/>
  <c r="AF187" i="24"/>
  <c r="AG126" i="24"/>
  <c r="AF126" i="24"/>
  <c r="AG160" i="24"/>
  <c r="AF160" i="24"/>
  <c r="AG178" i="24"/>
  <c r="AF178" i="24"/>
  <c r="AG175" i="24"/>
  <c r="AF175" i="24"/>
  <c r="AG197" i="24"/>
  <c r="AF197" i="24"/>
  <c r="AG111" i="24"/>
  <c r="AF111" i="24"/>
  <c r="AG164" i="24"/>
  <c r="AF164" i="24"/>
  <c r="AF153" i="24"/>
  <c r="AJ297" i="24"/>
  <c r="AT297" i="24" s="1"/>
  <c r="AG118" i="24"/>
  <c r="AF118" i="24"/>
  <c r="AG173" i="24"/>
  <c r="AF173" i="24"/>
  <c r="AG180" i="24"/>
  <c r="AF180" i="24"/>
  <c r="AG129" i="24"/>
  <c r="AF129" i="24"/>
  <c r="AF169" i="24"/>
  <c r="AF115" i="24"/>
  <c r="AG138" i="24"/>
  <c r="AF138" i="24"/>
  <c r="AF203" i="24"/>
  <c r="AG124" i="24"/>
  <c r="AF124" i="24"/>
  <c r="AF136" i="24"/>
  <c r="AF116" i="24"/>
  <c r="AJ271" i="24"/>
  <c r="AT271" i="24" s="1"/>
  <c r="AJ292" i="24"/>
  <c r="AT292" i="24" s="1"/>
  <c r="Y243" i="24"/>
  <c r="Y286" i="24"/>
  <c r="AJ221" i="24"/>
  <c r="AT221" i="24" s="1"/>
  <c r="AF157" i="24"/>
  <c r="AF195" i="24"/>
  <c r="AF181" i="24"/>
  <c r="AG200" i="24"/>
  <c r="AF200" i="24"/>
  <c r="AG202" i="24"/>
  <c r="AF202" i="24"/>
  <c r="AG135" i="24"/>
  <c r="AF135" i="24"/>
  <c r="Y172" i="24"/>
  <c r="Y175" i="24"/>
  <c r="AF208" i="24"/>
  <c r="AF207" i="24"/>
  <c r="AG121" i="24"/>
  <c r="AF121" i="24"/>
  <c r="AG127" i="24"/>
  <c r="AF127" i="24"/>
  <c r="AJ300" i="24"/>
  <c r="AT300" i="24" s="1"/>
  <c r="AJ307" i="24"/>
  <c r="AT307" i="24" s="1"/>
  <c r="AF29" i="24"/>
  <c r="AJ227" i="24"/>
  <c r="AT227" i="24" s="1"/>
  <c r="AJ250" i="24"/>
  <c r="AT250" i="24" s="1"/>
  <c r="AJ251" i="24"/>
  <c r="AT251" i="24" s="1"/>
  <c r="AJ285" i="24"/>
  <c r="AT285" i="24" s="1"/>
  <c r="AJ301" i="24"/>
  <c r="AT301" i="24" s="1"/>
  <c r="AJ222" i="24"/>
  <c r="AT222" i="24" s="1"/>
  <c r="AJ273" i="24"/>
  <c r="AT273" i="24" s="1"/>
  <c r="AJ245" i="24"/>
  <c r="AT245" i="24" s="1"/>
  <c r="AF79" i="24"/>
  <c r="AF72" i="24"/>
  <c r="AF63" i="24"/>
  <c r="AF31" i="24"/>
  <c r="AF87" i="24"/>
  <c r="AJ294" i="24"/>
  <c r="AT294" i="24" s="1"/>
  <c r="AJ304" i="24"/>
  <c r="AT304" i="24" s="1"/>
  <c r="AJ303" i="24"/>
  <c r="AT303" i="24" s="1"/>
  <c r="AJ230" i="24"/>
  <c r="AT230" i="24" s="1"/>
  <c r="AJ315" i="24"/>
  <c r="AT315" i="24" s="1"/>
  <c r="Y247" i="24"/>
  <c r="Y300" i="24"/>
  <c r="Y274" i="24"/>
  <c r="AJ254" i="24"/>
  <c r="AT254" i="24" s="1"/>
  <c r="Y294" i="24"/>
  <c r="AJ236" i="24"/>
  <c r="AT236" i="24" s="1"/>
  <c r="AJ223" i="24"/>
  <c r="AT223" i="24" s="1"/>
  <c r="AJ240" i="24"/>
  <c r="AT240" i="24" s="1"/>
  <c r="AJ302" i="24"/>
  <c r="AT302" i="24" s="1"/>
  <c r="AJ233" i="24"/>
  <c r="AT233" i="24" s="1"/>
  <c r="AJ258" i="24"/>
  <c r="AT258" i="24" s="1"/>
  <c r="AJ309" i="24"/>
  <c r="AT309" i="24" s="1"/>
  <c r="AJ247" i="24"/>
  <c r="AT247" i="24" s="1"/>
  <c r="AJ314" i="24"/>
  <c r="AT314" i="24" s="1"/>
  <c r="AJ218" i="24"/>
  <c r="AT218" i="24" s="1"/>
  <c r="AJ216" i="24"/>
  <c r="AT216" i="24" s="1"/>
  <c r="AG230" i="24"/>
  <c r="AF230" i="24"/>
  <c r="AF234" i="24"/>
  <c r="AG234" i="24"/>
  <c r="AG314" i="24"/>
  <c r="AF314" i="24"/>
  <c r="AG219" i="24"/>
  <c r="AF219" i="24"/>
  <c r="AG241" i="24"/>
  <c r="AF241" i="24"/>
  <c r="AF248" i="24"/>
  <c r="AG293" i="24"/>
  <c r="AF293" i="24"/>
  <c r="AG223" i="24"/>
  <c r="AF223" i="24"/>
  <c r="Y302" i="24"/>
  <c r="AF272" i="24"/>
  <c r="AG272" i="24"/>
  <c r="AG300" i="24"/>
  <c r="AF300" i="24"/>
  <c r="AF235" i="24"/>
  <c r="AG235" i="24"/>
  <c r="AJ316" i="24"/>
  <c r="AT316" i="24" s="1"/>
  <c r="Y256" i="24"/>
  <c r="AG251" i="24"/>
  <c r="AF251" i="24"/>
  <c r="Y223" i="24"/>
  <c r="Y312" i="24"/>
  <c r="Y227" i="24"/>
  <c r="AG307" i="24"/>
  <c r="AF307" i="24"/>
  <c r="AG227" i="24"/>
  <c r="AF227" i="24"/>
  <c r="AF233" i="24"/>
  <c r="AG233" i="24"/>
  <c r="AJ275" i="24"/>
  <c r="AT275" i="24" s="1"/>
  <c r="AG258" i="24"/>
  <c r="AF258" i="24"/>
  <c r="AF280" i="24"/>
  <c r="AG256" i="24"/>
  <c r="AF256" i="24"/>
  <c r="AF277" i="24"/>
  <c r="AG271" i="24"/>
  <c r="AF271" i="24"/>
  <c r="AF315" i="24"/>
  <c r="AG315" i="24"/>
  <c r="AJ228" i="24"/>
  <c r="AT228" i="24" s="1"/>
  <c r="Y264" i="24"/>
  <c r="AG250" i="24"/>
  <c r="AF250" i="24"/>
  <c r="AF298" i="24"/>
  <c r="AG292" i="24"/>
  <c r="AF292" i="24"/>
  <c r="AF288" i="24"/>
  <c r="AG288" i="24"/>
  <c r="AF221" i="24"/>
  <c r="AG221" i="24"/>
  <c r="AJ286" i="24"/>
  <c r="AT286" i="24" s="1"/>
  <c r="AJ274" i="24"/>
  <c r="AT274" i="24" s="1"/>
  <c r="AF306" i="24"/>
  <c r="AG316" i="24"/>
  <c r="AF316" i="24"/>
  <c r="AJ266" i="24"/>
  <c r="AT266" i="24" s="1"/>
  <c r="AJ220" i="24"/>
  <c r="AT220" i="24" s="1"/>
  <c r="AG236" i="24"/>
  <c r="AF236" i="24"/>
  <c r="Y304" i="24"/>
  <c r="AJ243" i="24"/>
  <c r="AT243" i="24" s="1"/>
  <c r="AF282" i="24"/>
  <c r="AG240" i="24"/>
  <c r="AF240" i="24"/>
  <c r="AG294" i="24"/>
  <c r="AF294" i="24"/>
  <c r="AF239" i="24"/>
  <c r="AG239" i="24"/>
  <c r="AF304" i="24"/>
  <c r="AG304" i="24"/>
  <c r="AF218" i="24"/>
  <c r="AG218" i="24"/>
  <c r="AF268" i="24"/>
  <c r="AG268" i="24"/>
  <c r="AG287" i="24"/>
  <c r="AF287" i="24"/>
  <c r="AG285" i="24"/>
  <c r="AF285" i="24"/>
  <c r="AF261" i="24"/>
  <c r="AG264" i="24"/>
  <c r="AF264" i="24"/>
  <c r="AF259" i="24"/>
  <c r="AG259" i="24"/>
  <c r="AG245" i="24"/>
  <c r="AF245" i="24"/>
  <c r="Y218" i="24"/>
  <c r="AF283" i="24"/>
  <c r="Y316" i="24"/>
  <c r="AF276" i="24"/>
  <c r="AG279" i="24"/>
  <c r="AF279" i="24"/>
  <c r="AG301" i="24"/>
  <c r="AF301" i="24"/>
  <c r="AG297" i="24"/>
  <c r="AF297" i="24"/>
  <c r="AG310" i="24"/>
  <c r="AF310" i="24"/>
  <c r="AJ239" i="24"/>
  <c r="AT239" i="24" s="1"/>
  <c r="AF229" i="24"/>
  <c r="AG229" i="24"/>
  <c r="AG275" i="24"/>
  <c r="AF275" i="24"/>
  <c r="AG303" i="24"/>
  <c r="AF303" i="24"/>
  <c r="Y222" i="24"/>
  <c r="Y244" i="24"/>
  <c r="AG309" i="24"/>
  <c r="AF309" i="24"/>
  <c r="AF247" i="24"/>
  <c r="AG247" i="24"/>
  <c r="AJ234" i="24"/>
  <c r="AT234" i="24" s="1"/>
  <c r="AF228" i="24"/>
  <c r="AG228" i="24"/>
  <c r="Y235" i="24"/>
  <c r="AJ235" i="24"/>
  <c r="AT235" i="24" s="1"/>
  <c r="AG286" i="24"/>
  <c r="AF286" i="24"/>
  <c r="AJ219" i="24"/>
  <c r="AT219" i="24" s="1"/>
  <c r="AF254" i="24"/>
  <c r="AG254" i="24"/>
  <c r="AF274" i="24"/>
  <c r="AG274" i="24"/>
  <c r="AF262" i="24"/>
  <c r="AG266" i="24"/>
  <c r="AF266" i="24"/>
  <c r="AJ287" i="24"/>
  <c r="AT287" i="24" s="1"/>
  <c r="AG220" i="24"/>
  <c r="AF220" i="24"/>
  <c r="AG216" i="24"/>
  <c r="AF216" i="24"/>
  <c r="Y314" i="24"/>
  <c r="Y309" i="24"/>
  <c r="Y254" i="24"/>
  <c r="AF224" i="24"/>
  <c r="AG224" i="24"/>
  <c r="AJ279" i="24"/>
  <c r="AT279" i="24" s="1"/>
  <c r="AJ241" i="24"/>
  <c r="AT241" i="24" s="1"/>
  <c r="AJ293" i="24"/>
  <c r="AT293" i="24" s="1"/>
  <c r="AG243" i="24"/>
  <c r="AF243" i="24"/>
  <c r="AG222" i="24"/>
  <c r="AF222" i="24"/>
  <c r="AG273" i="24"/>
  <c r="AF273" i="24"/>
  <c r="AJ264" i="24"/>
  <c r="AT264" i="24" s="1"/>
  <c r="AJ259" i="24"/>
  <c r="AT259" i="24" s="1"/>
  <c r="Y245" i="24"/>
  <c r="Y279" i="24"/>
  <c r="AG302" i="24"/>
  <c r="AF302" i="24"/>
  <c r="AF270" i="24"/>
  <c r="AF41" i="24"/>
  <c r="AF59" i="24"/>
  <c r="AF89" i="24"/>
  <c r="AF54" i="24"/>
  <c r="AF68" i="24"/>
  <c r="AF51" i="24"/>
  <c r="AF46" i="24"/>
  <c r="AF92" i="24"/>
  <c r="AF19" i="24"/>
  <c r="AF82" i="24"/>
  <c r="AF18" i="24"/>
  <c r="AF28" i="24"/>
  <c r="AF40" i="24"/>
  <c r="Y5" i="24"/>
  <c r="Y33" i="24"/>
  <c r="Y96" i="24"/>
  <c r="Y21" i="24"/>
  <c r="AS134" i="25" l="1"/>
  <c r="AX134" i="25" s="1"/>
  <c r="AS202" i="25"/>
  <c r="AW202" i="25" s="1"/>
  <c r="AS177" i="25"/>
  <c r="AX177" i="25" s="1"/>
  <c r="AS187" i="25"/>
  <c r="AX187" i="25" s="1"/>
  <c r="AS191" i="25"/>
  <c r="AW191" i="25" s="1"/>
  <c r="AS183" i="25"/>
  <c r="AX183" i="25" s="1"/>
  <c r="AS182" i="25"/>
  <c r="AX182" i="25" s="1"/>
  <c r="AS209" i="25"/>
  <c r="AX209" i="25" s="1"/>
  <c r="AS186" i="25"/>
  <c r="AX186" i="25" s="1"/>
  <c r="AS180" i="25"/>
  <c r="AX180" i="25" s="1"/>
  <c r="AS200" i="25"/>
  <c r="AX200" i="25" s="1"/>
  <c r="AS179" i="25"/>
  <c r="AW179" i="25" s="1"/>
  <c r="AS146" i="25"/>
  <c r="AW146" i="25" s="1"/>
  <c r="AS181" i="25"/>
  <c r="AW181" i="25" s="1"/>
  <c r="AS119" i="25"/>
  <c r="AX119" i="25" s="1"/>
  <c r="AS193" i="25"/>
  <c r="AX193" i="25" s="1"/>
  <c r="AS144" i="25"/>
  <c r="AX144" i="25" s="1"/>
  <c r="AS117" i="25"/>
  <c r="AX117" i="25" s="1"/>
  <c r="AS205" i="25"/>
  <c r="AW205" i="25" s="1"/>
  <c r="AS173" i="25"/>
  <c r="AX173" i="25" s="1"/>
  <c r="AS140" i="25"/>
  <c r="AX140" i="25" s="1"/>
  <c r="AS194" i="25"/>
  <c r="AX194" i="25" s="1"/>
  <c r="AS166" i="25"/>
  <c r="AW166" i="25" s="1"/>
  <c r="AS137" i="25"/>
  <c r="AX137" i="25" s="1"/>
  <c r="AS184" i="25"/>
  <c r="AW184" i="25" s="1"/>
  <c r="AS203" i="25"/>
  <c r="AX203" i="25" s="1"/>
  <c r="AS148" i="25"/>
  <c r="AW148" i="25" s="1"/>
  <c r="AS165" i="25"/>
  <c r="AX165" i="25" s="1"/>
  <c r="AS124" i="25"/>
  <c r="AX124" i="25" s="1"/>
  <c r="AS158" i="25"/>
  <c r="AX158" i="25" s="1"/>
  <c r="AS132" i="25"/>
  <c r="AX132" i="25" s="1"/>
  <c r="AS207" i="25"/>
  <c r="AW207" i="25" s="1"/>
  <c r="AS138" i="25"/>
  <c r="AX138" i="25" s="1"/>
  <c r="AS131" i="25"/>
  <c r="AW131" i="25" s="1"/>
  <c r="AS143" i="25"/>
  <c r="AX143" i="25" s="1"/>
  <c r="AS161" i="25"/>
  <c r="AX161" i="25" s="1"/>
  <c r="AS152" i="25"/>
  <c r="AX152" i="25" s="1"/>
  <c r="AS149" i="25"/>
  <c r="AX149" i="25" s="1"/>
  <c r="AS141" i="25"/>
  <c r="AX141" i="25" s="1"/>
  <c r="AS123" i="25"/>
  <c r="AW123" i="25" s="1"/>
  <c r="AS118" i="25"/>
  <c r="AX118" i="25" s="1"/>
  <c r="AS125" i="25"/>
  <c r="AX125" i="25" s="1"/>
  <c r="AS129" i="25"/>
  <c r="AW129" i="25" s="1"/>
  <c r="AS128" i="25"/>
  <c r="AX128" i="25" s="1"/>
  <c r="AS127" i="25"/>
  <c r="AX127" i="25" s="1"/>
  <c r="AS198" i="25"/>
  <c r="AW198" i="25" s="1"/>
  <c r="AS157" i="25"/>
  <c r="AX157" i="25" s="1"/>
  <c r="AS170" i="25"/>
  <c r="AX170" i="25" s="1"/>
  <c r="AS169" i="25"/>
  <c r="AW169" i="25" s="1"/>
  <c r="AS189" i="25"/>
  <c r="AX189" i="25" s="1"/>
  <c r="AS126" i="25"/>
  <c r="AX126" i="25" s="1"/>
  <c r="AS156" i="25"/>
  <c r="AW156" i="25" s="1"/>
  <c r="AS133" i="25"/>
  <c r="AX133" i="25" s="1"/>
  <c r="AS176" i="25"/>
  <c r="AX176" i="25" s="1"/>
  <c r="AS190" i="25"/>
  <c r="AW190" i="25" s="1"/>
  <c r="AS195" i="25"/>
  <c r="AX195" i="25" s="1"/>
  <c r="AS160" i="25"/>
  <c r="AX160" i="25" s="1"/>
  <c r="AS197" i="25"/>
  <c r="AX197" i="25" s="1"/>
  <c r="AS171" i="25"/>
  <c r="AX171" i="25" s="1"/>
  <c r="AS164" i="25"/>
  <c r="AW164" i="25" s="1"/>
  <c r="AS150" i="25"/>
  <c r="AX150" i="25" s="1"/>
  <c r="AS153" i="25"/>
  <c r="AW153" i="25" s="1"/>
  <c r="AS178" i="25"/>
  <c r="AW178" i="25" s="1"/>
  <c r="AS167" i="25"/>
  <c r="AX167" i="25" s="1"/>
  <c r="AS113" i="25"/>
  <c r="AX113" i="25" s="1"/>
  <c r="AS154" i="25"/>
  <c r="AX154" i="25" s="1"/>
  <c r="AS142" i="25"/>
  <c r="AX142" i="25" s="1"/>
  <c r="AS168" i="25"/>
  <c r="AW168" i="25" s="1"/>
  <c r="AS201" i="25"/>
  <c r="AW201" i="25" s="1"/>
  <c r="AS114" i="25"/>
  <c r="AX114" i="25" s="1"/>
  <c r="AS175" i="25"/>
  <c r="AX175" i="25" s="1"/>
  <c r="AS206" i="25"/>
  <c r="AW206" i="25" s="1"/>
  <c r="AS145" i="25"/>
  <c r="AX145" i="25" s="1"/>
  <c r="AS192" i="25"/>
  <c r="AX192" i="25" s="1"/>
  <c r="AS159" i="25"/>
  <c r="AX159" i="25" s="1"/>
  <c r="AS204" i="25"/>
  <c r="AX204" i="25" s="1"/>
  <c r="AS111" i="25"/>
  <c r="AX111" i="25" s="1"/>
  <c r="AS151" i="25"/>
  <c r="AX151" i="25" s="1"/>
  <c r="AS185" i="25"/>
  <c r="AW185" i="25" s="1"/>
  <c r="AS120" i="25"/>
  <c r="AW120" i="25" s="1"/>
  <c r="AS188" i="25"/>
  <c r="AX188" i="25" s="1"/>
  <c r="AS121" i="25"/>
  <c r="AW121" i="25" s="1"/>
  <c r="AS162" i="25"/>
  <c r="AX162" i="25" s="1"/>
  <c r="AS115" i="25"/>
  <c r="AX115" i="25" s="1"/>
  <c r="AS135" i="25"/>
  <c r="AW135" i="25" s="1"/>
  <c r="AS172" i="25"/>
  <c r="AX172" i="25" s="1"/>
  <c r="AS196" i="25"/>
  <c r="AX196" i="25" s="1"/>
  <c r="AS199" i="25"/>
  <c r="AX199" i="25" s="1"/>
  <c r="AS147" i="25"/>
  <c r="AX147" i="25" s="1"/>
  <c r="AS174" i="25"/>
  <c r="AX174" i="25" s="1"/>
  <c r="AS163" i="25"/>
  <c r="AW163" i="25" s="1"/>
  <c r="AS130" i="25"/>
  <c r="AX130" i="25" s="1"/>
  <c r="AS136" i="25"/>
  <c r="AX136" i="25" s="1"/>
  <c r="AS208" i="25"/>
  <c r="AW208" i="25" s="1"/>
  <c r="AS155" i="25"/>
  <c r="AX155" i="25" s="1"/>
  <c r="AS210" i="25"/>
  <c r="AX210" i="25" s="1"/>
  <c r="AS116" i="25"/>
  <c r="AX116" i="25" s="1"/>
  <c r="AS112" i="25"/>
  <c r="AW112" i="25" s="1"/>
  <c r="AS139" i="25"/>
  <c r="AX139" i="25" s="1"/>
  <c r="AS122" i="25"/>
  <c r="AX122" i="25" s="1"/>
  <c r="AS110" i="25"/>
  <c r="AX110" i="25" s="1"/>
  <c r="AX202" i="25"/>
  <c r="AW144" i="25"/>
  <c r="AT141" i="24"/>
  <c r="AT145" i="24"/>
  <c r="AT205" i="24"/>
  <c r="AT194" i="24"/>
  <c r="AT125" i="24"/>
  <c r="AT131" i="24"/>
  <c r="AT150" i="24"/>
  <c r="AT188" i="24"/>
  <c r="AT170" i="24"/>
  <c r="AT162" i="24"/>
  <c r="AT113" i="24"/>
  <c r="AT143" i="24"/>
  <c r="AT127" i="24"/>
  <c r="AT110" i="24"/>
  <c r="AT184" i="24"/>
  <c r="AT154" i="24"/>
  <c r="AT119" i="24"/>
  <c r="AT167" i="24"/>
  <c r="AT152" i="24"/>
  <c r="AT128" i="24"/>
  <c r="AT186" i="24"/>
  <c r="AT179" i="24"/>
  <c r="AT163" i="24"/>
  <c r="AT161" i="24"/>
  <c r="AT209" i="24"/>
  <c r="AT133" i="24"/>
  <c r="AT139" i="24"/>
  <c r="AT168" i="24"/>
  <c r="AT176" i="24"/>
  <c r="AT198" i="24"/>
  <c r="AT130" i="24"/>
  <c r="AT191" i="24"/>
  <c r="AT193" i="24"/>
  <c r="AT190" i="24"/>
  <c r="AT197" i="24"/>
  <c r="AT137" i="24"/>
  <c r="AT159" i="24"/>
  <c r="AT142" i="24"/>
  <c r="AT183" i="24"/>
  <c r="AT177" i="24"/>
  <c r="AT165" i="24"/>
  <c r="AT192" i="24"/>
  <c r="AT196" i="24"/>
  <c r="AT189" i="24"/>
  <c r="AT144" i="24"/>
  <c r="AT151" i="24"/>
  <c r="AT146" i="24"/>
  <c r="AT166" i="24"/>
  <c r="AT185" i="24"/>
  <c r="AT111" i="24"/>
  <c r="AT199" i="24"/>
  <c r="AT156" i="24"/>
  <c r="AT204" i="24"/>
  <c r="AT114" i="24"/>
  <c r="AT120" i="24"/>
  <c r="AT158" i="24"/>
  <c r="AT121" i="24"/>
  <c r="AT182" i="24"/>
  <c r="AT149" i="24"/>
  <c r="AT134" i="24"/>
  <c r="AT203" i="24"/>
  <c r="AT206" i="24"/>
  <c r="AT174" i="24"/>
  <c r="AT117" i="24"/>
  <c r="AT147" i="24"/>
  <c r="AT171" i="24"/>
  <c r="AT132" i="24"/>
  <c r="AV23" i="24"/>
  <c r="AV73" i="24"/>
  <c r="AV104" i="24"/>
  <c r="AV105" i="24"/>
  <c r="AV100" i="24"/>
  <c r="AV53" i="24"/>
  <c r="AV36" i="24"/>
  <c r="AV5" i="24"/>
  <c r="BT5" i="24"/>
  <c r="AV27" i="24"/>
  <c r="AV87" i="24"/>
  <c r="AV95" i="24"/>
  <c r="AV69" i="24"/>
  <c r="AV70" i="24"/>
  <c r="AV42" i="24"/>
  <c r="AV60" i="24"/>
  <c r="AV50" i="24"/>
  <c r="AV78" i="24"/>
  <c r="AV32" i="24"/>
  <c r="AV14" i="24"/>
  <c r="AV83" i="24"/>
  <c r="AV10" i="24"/>
  <c r="AV25" i="24"/>
  <c r="AJ55" i="24"/>
  <c r="AG289" i="24"/>
  <c r="AG152" i="24"/>
  <c r="AG70" i="24"/>
  <c r="AJ277" i="24"/>
  <c r="AT277" i="24" s="1"/>
  <c r="AG277" i="24"/>
  <c r="AN277" i="24" s="1"/>
  <c r="CB277" i="24" s="1"/>
  <c r="AF253" i="24"/>
  <c r="AN253" i="24" s="1"/>
  <c r="AF305" i="24"/>
  <c r="AK305" i="24" s="1"/>
  <c r="AG190" i="24"/>
  <c r="AN190" i="24" s="1"/>
  <c r="AJ207" i="24"/>
  <c r="AG280" i="24"/>
  <c r="AN280" i="24" s="1"/>
  <c r="AJ260" i="24"/>
  <c r="AT260" i="24" s="1"/>
  <c r="AJ280" i="24"/>
  <c r="AT280" i="24" s="1"/>
  <c r="AG260" i="24"/>
  <c r="AJ195" i="24"/>
  <c r="AJ244" i="24"/>
  <c r="AT244" i="24" s="1"/>
  <c r="AG283" i="24"/>
  <c r="AN283" i="24" s="1"/>
  <c r="CB283" i="24" s="1"/>
  <c r="AJ248" i="24"/>
  <c r="AT248" i="24" s="1"/>
  <c r="AJ153" i="24"/>
  <c r="AG262" i="24"/>
  <c r="AG248" i="24"/>
  <c r="AN248" i="24" s="1"/>
  <c r="AG191" i="24"/>
  <c r="AJ289" i="24"/>
  <c r="AT289" i="24" s="1"/>
  <c r="AJ262" i="24"/>
  <c r="AT262" i="24" s="1"/>
  <c r="AG270" i="24"/>
  <c r="AN270" i="24" s="1"/>
  <c r="CB270" i="24" s="1"/>
  <c r="AF281" i="24"/>
  <c r="AN281" i="24" s="1"/>
  <c r="AG193" i="24"/>
  <c r="AG255" i="24"/>
  <c r="AK255" i="24" s="1"/>
  <c r="AF193" i="24"/>
  <c r="AJ79" i="24"/>
  <c r="AJ201" i="24"/>
  <c r="AJ172" i="24"/>
  <c r="AJ261" i="24"/>
  <c r="AT261" i="24" s="1"/>
  <c r="AJ187" i="24"/>
  <c r="AJ298" i="24"/>
  <c r="AT298" i="24" s="1"/>
  <c r="AG217" i="24"/>
  <c r="AK217" i="24" s="1"/>
  <c r="AJ96" i="24"/>
  <c r="AG244" i="24"/>
  <c r="AN244" i="24" s="1"/>
  <c r="CB244" i="24" s="1"/>
  <c r="AJ157" i="24"/>
  <c r="AJ283" i="24"/>
  <c r="AT283" i="24" s="1"/>
  <c r="AJ208" i="24"/>
  <c r="AJ210" i="24"/>
  <c r="AG312" i="24"/>
  <c r="AG132" i="24"/>
  <c r="AV101" i="24"/>
  <c r="AT101" i="24"/>
  <c r="BA101" i="24" s="1"/>
  <c r="AV91" i="24"/>
  <c r="AT91" i="24"/>
  <c r="BA91" i="24" s="1"/>
  <c r="AJ181" i="24"/>
  <c r="AJ92" i="24"/>
  <c r="AF289" i="24"/>
  <c r="AG171" i="24"/>
  <c r="AN171" i="24" s="1"/>
  <c r="AX171" i="24" s="1"/>
  <c r="AG311" i="24"/>
  <c r="AK311" i="24" s="1"/>
  <c r="AG226" i="24"/>
  <c r="AK226" i="24" s="1"/>
  <c r="AJ97" i="24"/>
  <c r="AJ312" i="24"/>
  <c r="AT312" i="24" s="1"/>
  <c r="AJ169" i="24"/>
  <c r="AG147" i="24"/>
  <c r="AJ257" i="24"/>
  <c r="AT257" i="24" s="1"/>
  <c r="AF147" i="24"/>
  <c r="AF132" i="24"/>
  <c r="AJ155" i="24"/>
  <c r="AG242" i="24"/>
  <c r="AG130" i="24"/>
  <c r="AK130" i="24" s="1"/>
  <c r="AJ270" i="24"/>
  <c r="AT270" i="24" s="1"/>
  <c r="AJ282" i="24"/>
  <c r="AT282" i="24" s="1"/>
  <c r="AG158" i="24"/>
  <c r="AN158" i="24" s="1"/>
  <c r="BT158" i="24" s="1"/>
  <c r="AG153" i="24"/>
  <c r="AN153" i="24" s="1"/>
  <c r="AG282" i="24"/>
  <c r="AN282" i="24" s="1"/>
  <c r="CB282" i="24" s="1"/>
  <c r="AG269" i="24"/>
  <c r="AG265" i="24"/>
  <c r="AK265" i="24" s="1"/>
  <c r="AG146" i="24"/>
  <c r="AK146" i="24" s="1"/>
  <c r="AF260" i="24"/>
  <c r="AG257" i="24"/>
  <c r="AN257" i="24" s="1"/>
  <c r="AG267" i="24"/>
  <c r="AN267" i="24" s="1"/>
  <c r="AG176" i="24"/>
  <c r="AK176" i="24" s="1"/>
  <c r="AG290" i="24"/>
  <c r="AN290" i="24" s="1"/>
  <c r="CB290" i="24" s="1"/>
  <c r="AG291" i="24"/>
  <c r="AK291" i="24" s="1"/>
  <c r="AG261" i="24"/>
  <c r="AN261" i="24" s="1"/>
  <c r="AG198" i="24"/>
  <c r="AK198" i="24" s="1"/>
  <c r="AG114" i="24"/>
  <c r="AF191" i="24"/>
  <c r="AG166" i="24"/>
  <c r="AG117" i="24"/>
  <c r="AK117" i="24" s="1"/>
  <c r="AF237" i="24"/>
  <c r="AK237" i="24" s="1"/>
  <c r="AG195" i="24"/>
  <c r="AF278" i="24"/>
  <c r="AK278" i="24" s="1"/>
  <c r="AG308" i="24"/>
  <c r="AK308" i="24" s="1"/>
  <c r="AF114" i="24"/>
  <c r="AG232" i="24"/>
  <c r="AK232" i="24" s="1"/>
  <c r="AG122" i="24"/>
  <c r="AG299" i="24"/>
  <c r="AN299" i="24" s="1"/>
  <c r="AG298" i="24"/>
  <c r="AN298" i="24" s="1"/>
  <c r="CB298" i="24" s="1"/>
  <c r="AG231" i="24"/>
  <c r="AK231" i="24" s="1"/>
  <c r="AG185" i="24"/>
  <c r="AN185" i="24" s="1"/>
  <c r="BT185" i="24" s="1"/>
  <c r="AV85" i="24"/>
  <c r="AT85" i="24"/>
  <c r="BA85" i="24" s="1"/>
  <c r="AV86" i="24"/>
  <c r="AT86" i="24"/>
  <c r="BA86" i="24" s="1"/>
  <c r="AV74" i="24"/>
  <c r="AT74" i="24"/>
  <c r="BA74" i="24" s="1"/>
  <c r="AJ89" i="24"/>
  <c r="AF249" i="24"/>
  <c r="AN249" i="24" s="1"/>
  <c r="CB249" i="24" s="1"/>
  <c r="AG120" i="24"/>
  <c r="AN120" i="24" s="1"/>
  <c r="AX120" i="24" s="1"/>
  <c r="AG133" i="24"/>
  <c r="AK133" i="24" s="1"/>
  <c r="AT83" i="24"/>
  <c r="BA83" i="24" s="1"/>
  <c r="AG151" i="24"/>
  <c r="AN151" i="24" s="1"/>
  <c r="BH151" i="24" s="1"/>
  <c r="AG143" i="24"/>
  <c r="AN143" i="24" s="1"/>
  <c r="BT143" i="24" s="1"/>
  <c r="AT73" i="24"/>
  <c r="BA73" i="24" s="1"/>
  <c r="AJ63" i="24"/>
  <c r="AJ82" i="24"/>
  <c r="AJ72" i="24"/>
  <c r="AJ148" i="24"/>
  <c r="AJ46" i="24"/>
  <c r="AG168" i="24"/>
  <c r="AG174" i="24"/>
  <c r="AG189" i="24"/>
  <c r="AG139" i="24"/>
  <c r="AN139" i="24" s="1"/>
  <c r="BS139" i="24" s="1"/>
  <c r="AJ68" i="24"/>
  <c r="AG225" i="24"/>
  <c r="AG150" i="24"/>
  <c r="AK150" i="24" s="1"/>
  <c r="AG156" i="24"/>
  <c r="AK156" i="24" s="1"/>
  <c r="AG204" i="24"/>
  <c r="AK204" i="24" s="1"/>
  <c r="AF238" i="24"/>
  <c r="AK238" i="24" s="1"/>
  <c r="AF225" i="24"/>
  <c r="AF166" i="24"/>
  <c r="AG263" i="24"/>
  <c r="AF263" i="24"/>
  <c r="AG144" i="24"/>
  <c r="AN144" i="24" s="1"/>
  <c r="AX144" i="24" s="1"/>
  <c r="AG252" i="24"/>
  <c r="AN252" i="24" s="1"/>
  <c r="CB252" i="24" s="1"/>
  <c r="AF189" i="24"/>
  <c r="AJ306" i="24"/>
  <c r="AT306" i="24" s="1"/>
  <c r="AF168" i="24"/>
  <c r="AJ276" i="24"/>
  <c r="AT276" i="24" s="1"/>
  <c r="AJ54" i="24"/>
  <c r="AV56" i="24"/>
  <c r="AT56" i="24"/>
  <c r="BA56" i="24" s="1"/>
  <c r="AG276" i="24"/>
  <c r="AN276" i="24" s="1"/>
  <c r="AJ59" i="24"/>
  <c r="AJ51" i="24"/>
  <c r="AJ136" i="24"/>
  <c r="AJ64" i="24"/>
  <c r="AJ225" i="24"/>
  <c r="AT225" i="24" s="1"/>
  <c r="AF313" i="24"/>
  <c r="AN313" i="24" s="1"/>
  <c r="CB313" i="24" s="1"/>
  <c r="AF246" i="24"/>
  <c r="AN246" i="24" s="1"/>
  <c r="CB246" i="24" s="1"/>
  <c r="AF295" i="24"/>
  <c r="AK295" i="24" s="1"/>
  <c r="AF174" i="24"/>
  <c r="AG296" i="24"/>
  <c r="AK296" i="24" s="1"/>
  <c r="AG25" i="24"/>
  <c r="AG89" i="24"/>
  <c r="AN89" i="24" s="1"/>
  <c r="AG284" i="24"/>
  <c r="AK284" i="24" s="1"/>
  <c r="AG209" i="24"/>
  <c r="AK209" i="24" s="1"/>
  <c r="AF242" i="24"/>
  <c r="AF269" i="24"/>
  <c r="AJ40" i="24"/>
  <c r="AG306" i="24"/>
  <c r="AK306" i="24" s="1"/>
  <c r="AG113" i="24"/>
  <c r="AN113" i="24" s="1"/>
  <c r="AJ41" i="24"/>
  <c r="AG179" i="24"/>
  <c r="AN179" i="24" s="1"/>
  <c r="BS179" i="24" s="1"/>
  <c r="AF78" i="24"/>
  <c r="AK78" i="24" s="1"/>
  <c r="AG157" i="24"/>
  <c r="AG101" i="24"/>
  <c r="AK101" i="24" s="1"/>
  <c r="AF128" i="24"/>
  <c r="AK128" i="24" s="1"/>
  <c r="AG112" i="24"/>
  <c r="AG181" i="24"/>
  <c r="AK181" i="24" s="1"/>
  <c r="AJ112" i="24"/>
  <c r="AG10" i="24"/>
  <c r="AK10" i="24" s="1"/>
  <c r="AG92" i="24"/>
  <c r="AN92" i="24" s="1"/>
  <c r="AG208" i="24"/>
  <c r="AK208" i="24" s="1"/>
  <c r="AG196" i="24"/>
  <c r="AF183" i="24"/>
  <c r="AN183" i="24" s="1"/>
  <c r="AX183" i="24" s="1"/>
  <c r="AF137" i="24"/>
  <c r="AN137" i="24" s="1"/>
  <c r="AF196" i="24"/>
  <c r="AG162" i="24"/>
  <c r="AG46" i="24"/>
  <c r="AN46" i="24" s="1"/>
  <c r="CB46" i="24" s="1"/>
  <c r="AF25" i="24"/>
  <c r="AG186" i="24"/>
  <c r="AK186" i="24" s="1"/>
  <c r="AF142" i="24"/>
  <c r="AN142" i="24" s="1"/>
  <c r="BS142" i="24" s="1"/>
  <c r="AG141" i="24"/>
  <c r="AK141" i="24" s="1"/>
  <c r="AT100" i="24"/>
  <c r="BA100" i="24" s="1"/>
  <c r="AG148" i="24"/>
  <c r="AN148" i="24" s="1"/>
  <c r="AG96" i="24"/>
  <c r="AN96" i="24" s="1"/>
  <c r="AG206" i="24"/>
  <c r="AK206" i="24" s="1"/>
  <c r="AG177" i="24"/>
  <c r="AN177" i="24" s="1"/>
  <c r="AG85" i="24"/>
  <c r="AN85" i="24" s="1"/>
  <c r="BT85" i="24" s="1"/>
  <c r="AG51" i="24"/>
  <c r="AG95" i="24"/>
  <c r="AK95" i="24" s="1"/>
  <c r="AG203" i="24"/>
  <c r="AK203" i="24" s="1"/>
  <c r="AT96" i="24"/>
  <c r="BA96" i="24" s="1"/>
  <c r="AG14" i="24"/>
  <c r="AK14" i="24" s="1"/>
  <c r="AG119" i="24"/>
  <c r="AK119" i="24" s="1"/>
  <c r="AJ122" i="24"/>
  <c r="AJ18" i="24"/>
  <c r="AG167" i="24"/>
  <c r="AG18" i="24"/>
  <c r="AN18" i="24" s="1"/>
  <c r="BI18" i="24" s="1"/>
  <c r="AG54" i="24"/>
  <c r="AN54" i="24" s="1"/>
  <c r="CB54" i="24" s="1"/>
  <c r="AF170" i="24"/>
  <c r="AK170" i="24" s="1"/>
  <c r="AT105" i="24"/>
  <c r="BA105" i="24" s="1"/>
  <c r="AG23" i="24"/>
  <c r="AG159" i="24"/>
  <c r="AG105" i="24"/>
  <c r="AK105" i="24" s="1"/>
  <c r="AG145" i="24"/>
  <c r="AN145" i="24" s="1"/>
  <c r="BS145" i="24" s="1"/>
  <c r="AG36" i="24"/>
  <c r="AN36" i="24" s="1"/>
  <c r="BT36" i="24" s="1"/>
  <c r="AF122" i="24"/>
  <c r="AF112" i="24"/>
  <c r="AG184" i="24"/>
  <c r="AK184" i="24" s="1"/>
  <c r="AG187" i="24"/>
  <c r="AN187" i="24" s="1"/>
  <c r="AJ21" i="24"/>
  <c r="AJ31" i="24"/>
  <c r="AG199" i="24"/>
  <c r="AK199" i="24" s="1"/>
  <c r="AI13" i="24"/>
  <c r="AJ13" i="24" s="1"/>
  <c r="AG100" i="24"/>
  <c r="AN100" i="24" s="1"/>
  <c r="AX100" i="24" s="1"/>
  <c r="AF56" i="24"/>
  <c r="AN56" i="24" s="1"/>
  <c r="AX56" i="24" s="1"/>
  <c r="AG27" i="24"/>
  <c r="AK27" i="24" s="1"/>
  <c r="AG125" i="24"/>
  <c r="AN125" i="24" s="1"/>
  <c r="BH125" i="24" s="1"/>
  <c r="AG192" i="24"/>
  <c r="AK192" i="24" s="1"/>
  <c r="AF159" i="24"/>
  <c r="AG205" i="24"/>
  <c r="AK205" i="24" s="1"/>
  <c r="AF167" i="24"/>
  <c r="AT87" i="24"/>
  <c r="BA87" i="24" s="1"/>
  <c r="AF23" i="24"/>
  <c r="AF83" i="24"/>
  <c r="AN83" i="24" s="1"/>
  <c r="AX83" i="24" s="1"/>
  <c r="AG41" i="24"/>
  <c r="AF152" i="24"/>
  <c r="AG161" i="24"/>
  <c r="AK161" i="24" s="1"/>
  <c r="AG136" i="24"/>
  <c r="AJ19" i="24"/>
  <c r="AJ123" i="24"/>
  <c r="AF73" i="24"/>
  <c r="AK73" i="24" s="1"/>
  <c r="AG207" i="24"/>
  <c r="AG210" i="24"/>
  <c r="AG134" i="24"/>
  <c r="AK134" i="24" s="1"/>
  <c r="AG188" i="24"/>
  <c r="AK188" i="24" s="1"/>
  <c r="AG163" i="24"/>
  <c r="AK163" i="24" s="1"/>
  <c r="AT60" i="24"/>
  <c r="BA60" i="24" s="1"/>
  <c r="AJ29" i="24"/>
  <c r="AG149" i="24"/>
  <c r="AK149" i="24" s="1"/>
  <c r="AG87" i="24"/>
  <c r="AK87" i="24" s="1"/>
  <c r="AF182" i="24"/>
  <c r="AK182" i="24" s="1"/>
  <c r="AF165" i="24"/>
  <c r="AK165" i="24" s="1"/>
  <c r="AF162" i="24"/>
  <c r="AG50" i="24"/>
  <c r="AK50" i="24" s="1"/>
  <c r="AG60" i="24"/>
  <c r="AK60" i="24" s="1"/>
  <c r="AG28" i="24"/>
  <c r="AN28" i="24" s="1"/>
  <c r="AT55" i="24"/>
  <c r="BA55" i="24" s="1"/>
  <c r="AG72" i="24"/>
  <c r="AN72" i="24" s="1"/>
  <c r="AG172" i="24"/>
  <c r="X35" i="24"/>
  <c r="AA35" i="24" s="1"/>
  <c r="AB35" i="24" s="1"/>
  <c r="AC35" i="24" s="1"/>
  <c r="AJ35" i="24" s="1"/>
  <c r="AJ28" i="24"/>
  <c r="AG42" i="24"/>
  <c r="AN42" i="24" s="1"/>
  <c r="BT42" i="24" s="1"/>
  <c r="AJ115" i="24"/>
  <c r="AG55" i="24"/>
  <c r="AJ116" i="24"/>
  <c r="X71" i="24"/>
  <c r="AA71" i="24" s="1"/>
  <c r="AB71" i="24" s="1"/>
  <c r="AC71" i="24" s="1"/>
  <c r="W11" i="24"/>
  <c r="Y11" i="24" s="1"/>
  <c r="AI43" i="24"/>
  <c r="AJ43" i="24" s="1"/>
  <c r="AG31" i="24"/>
  <c r="AN31" i="24" s="1"/>
  <c r="AG115" i="24"/>
  <c r="AG64" i="24"/>
  <c r="B126" i="2"/>
  <c r="AG97" i="24"/>
  <c r="AJ33" i="24"/>
  <c r="AG40" i="24"/>
  <c r="AN40" i="24" s="1"/>
  <c r="AG116" i="24"/>
  <c r="AN116" i="24" s="1"/>
  <c r="AG201" i="24"/>
  <c r="AN201" i="24" s="1"/>
  <c r="AG169" i="24"/>
  <c r="AG131" i="24"/>
  <c r="AK131" i="24" s="1"/>
  <c r="AG194" i="24"/>
  <c r="AK194" i="24" s="1"/>
  <c r="AG155" i="24"/>
  <c r="AE65" i="24"/>
  <c r="AF65" i="24" s="1"/>
  <c r="AG82" i="24"/>
  <c r="AN82" i="24" s="1"/>
  <c r="CB82" i="24" s="1"/>
  <c r="AG63" i="24"/>
  <c r="AN63" i="24" s="1"/>
  <c r="AF74" i="24"/>
  <c r="AN74" i="24" s="1"/>
  <c r="CB74" i="24" s="1"/>
  <c r="AG21" i="24"/>
  <c r="AN21" i="24" s="1"/>
  <c r="AF55" i="24"/>
  <c r="AG19" i="24"/>
  <c r="AN19" i="24" s="1"/>
  <c r="AG91" i="24"/>
  <c r="AK91" i="24" s="1"/>
  <c r="AG79" i="24"/>
  <c r="AN79" i="24" s="1"/>
  <c r="CB79" i="24" s="1"/>
  <c r="AF154" i="24"/>
  <c r="AN154" i="24" s="1"/>
  <c r="BH154" i="24" s="1"/>
  <c r="AG123" i="24"/>
  <c r="W99" i="24"/>
  <c r="Y99" i="24" s="1"/>
  <c r="AG33" i="24"/>
  <c r="AT42" i="24"/>
  <c r="BA42" i="24" s="1"/>
  <c r="AE22" i="24"/>
  <c r="AF22" i="24" s="1"/>
  <c r="AI8" i="24"/>
  <c r="AJ8" i="24" s="1"/>
  <c r="AF33" i="24"/>
  <c r="AE26" i="24"/>
  <c r="AF26" i="24" s="1"/>
  <c r="AG104" i="24"/>
  <c r="AN104" i="24" s="1"/>
  <c r="BT104" i="24" s="1"/>
  <c r="AG32" i="24"/>
  <c r="AN32" i="24" s="1"/>
  <c r="AX32" i="24" s="1"/>
  <c r="AG68" i="24"/>
  <c r="AN68" i="24" s="1"/>
  <c r="AG86" i="24"/>
  <c r="AK86" i="24" s="1"/>
  <c r="AG59" i="24"/>
  <c r="AN59" i="24" s="1"/>
  <c r="W88" i="24"/>
  <c r="Y88" i="24" s="1"/>
  <c r="AG29" i="24"/>
  <c r="AN29" i="24" s="1"/>
  <c r="AE43" i="24"/>
  <c r="AG43" i="24" s="1"/>
  <c r="AF70" i="24"/>
  <c r="AT70" i="24"/>
  <c r="BA70" i="24" s="1"/>
  <c r="AT69" i="24"/>
  <c r="BA69" i="24" s="1"/>
  <c r="AE13" i="24"/>
  <c r="AF13" i="24" s="1"/>
  <c r="W13" i="24"/>
  <c r="Y13" i="24" s="1"/>
  <c r="AI71" i="24"/>
  <c r="AG69" i="24"/>
  <c r="AK69" i="24" s="1"/>
  <c r="AG53" i="24"/>
  <c r="AN53" i="24" s="1"/>
  <c r="AX53" i="24" s="1"/>
  <c r="X49" i="24"/>
  <c r="AA49" i="24" s="1"/>
  <c r="AB49" i="24" s="1"/>
  <c r="AC49" i="24" s="1"/>
  <c r="AJ49" i="24" s="1"/>
  <c r="AE71" i="24"/>
  <c r="AF71" i="24" s="1"/>
  <c r="P8" i="24"/>
  <c r="P94" i="24"/>
  <c r="AE102" i="24"/>
  <c r="AF102" i="24" s="1"/>
  <c r="AP94" i="24"/>
  <c r="W61" i="24"/>
  <c r="Y61" i="24" s="1"/>
  <c r="P93" i="24"/>
  <c r="W65" i="24"/>
  <c r="Y65" i="24" s="1"/>
  <c r="W6" i="24"/>
  <c r="Y6" i="24" s="1"/>
  <c r="X22" i="24"/>
  <c r="AA22" i="24" s="1"/>
  <c r="AB22" i="24" s="1"/>
  <c r="AC22" i="24" s="1"/>
  <c r="AP49" i="24"/>
  <c r="P77" i="24"/>
  <c r="X37" i="24"/>
  <c r="AA37" i="24" s="1"/>
  <c r="AB37" i="24" s="1"/>
  <c r="AC37" i="24" s="1"/>
  <c r="AJ37" i="24" s="1"/>
  <c r="W43" i="24"/>
  <c r="Y43" i="24" s="1"/>
  <c r="X102" i="24"/>
  <c r="AA102" i="24" s="1"/>
  <c r="AB102" i="24" s="1"/>
  <c r="AC102" i="24" s="1"/>
  <c r="AJ102" i="24" s="1"/>
  <c r="P35" i="24"/>
  <c r="AP84" i="24"/>
  <c r="P49" i="24"/>
  <c r="P81" i="24"/>
  <c r="AI22" i="24"/>
  <c r="W102" i="24"/>
  <c r="Y102" i="24" s="1"/>
  <c r="X65" i="24"/>
  <c r="AA65" i="24" s="1"/>
  <c r="AB65" i="24" s="1"/>
  <c r="AC65" i="24" s="1"/>
  <c r="AJ65" i="24" s="1"/>
  <c r="Q38" i="24"/>
  <c r="R38" i="24" s="1"/>
  <c r="Q9" i="24"/>
  <c r="R9" i="24" s="1"/>
  <c r="Q15" i="24"/>
  <c r="R15" i="24" s="1"/>
  <c r="AP90" i="24"/>
  <c r="Q90" i="24"/>
  <c r="R90" i="24" s="1"/>
  <c r="Q47" i="24"/>
  <c r="R47" i="24" s="1"/>
  <c r="AP99" i="24"/>
  <c r="Q99" i="24"/>
  <c r="R99" i="24" s="1"/>
  <c r="Q76" i="24"/>
  <c r="R76" i="24" s="1"/>
  <c r="AP80" i="24"/>
  <c r="Q80" i="24"/>
  <c r="R80" i="24" s="1"/>
  <c r="AP6" i="24"/>
  <c r="Q6" i="24"/>
  <c r="R6" i="24" s="1"/>
  <c r="AP61" i="24"/>
  <c r="Q61" i="24"/>
  <c r="R61" i="24" s="1"/>
  <c r="AP75" i="24"/>
  <c r="Q75" i="24"/>
  <c r="R75" i="24" s="1"/>
  <c r="Q103" i="24"/>
  <c r="R103" i="24" s="1"/>
  <c r="AP44" i="24"/>
  <c r="Q44" i="24"/>
  <c r="R44" i="24" s="1"/>
  <c r="Q102" i="24"/>
  <c r="R102" i="24" s="1"/>
  <c r="Q65" i="24"/>
  <c r="R65" i="24" s="1"/>
  <c r="P52" i="24"/>
  <c r="Q52" i="24"/>
  <c r="R52" i="24" s="1"/>
  <c r="AP22" i="24"/>
  <c r="Q22" i="24"/>
  <c r="R22" i="24" s="1"/>
  <c r="AP45" i="24"/>
  <c r="Q45" i="24"/>
  <c r="R45" i="24" s="1"/>
  <c r="P39" i="24"/>
  <c r="Q39" i="24"/>
  <c r="R39" i="24" s="1"/>
  <c r="Q37" i="24"/>
  <c r="R37" i="24" s="1"/>
  <c r="AP88" i="24"/>
  <c r="Q88" i="24"/>
  <c r="R88" i="24" s="1"/>
  <c r="AP67" i="24"/>
  <c r="Q67" i="24"/>
  <c r="R67" i="24" s="1"/>
  <c r="Q77" i="24"/>
  <c r="R77" i="24" s="1"/>
  <c r="Q17" i="24"/>
  <c r="R17" i="24" s="1"/>
  <c r="AP16" i="24"/>
  <c r="Q16" i="24"/>
  <c r="R16" i="24" s="1"/>
  <c r="Q7" i="24"/>
  <c r="R7" i="24" s="1"/>
  <c r="Q98" i="24"/>
  <c r="R98" i="24" s="1"/>
  <c r="P57" i="24"/>
  <c r="Q57" i="24"/>
  <c r="R57" i="24" s="1"/>
  <c r="Q58" i="24"/>
  <c r="R58" i="24" s="1"/>
  <c r="AP43" i="24"/>
  <c r="Q43" i="24"/>
  <c r="R43" i="24" s="1"/>
  <c r="P71" i="24"/>
  <c r="Q71" i="24"/>
  <c r="R71" i="24" s="1"/>
  <c r="P11" i="24"/>
  <c r="Q11" i="24"/>
  <c r="R11" i="24" s="1"/>
  <c r="AP12" i="24"/>
  <c r="Q12" i="24"/>
  <c r="R12" i="24" s="1"/>
  <c r="Q13" i="24"/>
  <c r="R13" i="24" s="1"/>
  <c r="P26" i="24"/>
  <c r="Q26" i="24"/>
  <c r="R26" i="24" s="1"/>
  <c r="AP62" i="24"/>
  <c r="Q62" i="24"/>
  <c r="R62" i="24" s="1"/>
  <c r="AP13" i="24"/>
  <c r="P98" i="24"/>
  <c r="AE93" i="24"/>
  <c r="AF93" i="24" s="1"/>
  <c r="W37" i="24"/>
  <c r="Y37" i="24" s="1"/>
  <c r="AI94" i="24"/>
  <c r="AE49" i="24"/>
  <c r="AF49" i="24" s="1"/>
  <c r="AP57" i="24"/>
  <c r="W94" i="24"/>
  <c r="Y94" i="24" s="1"/>
  <c r="P62" i="24"/>
  <c r="P13" i="24"/>
  <c r="P43" i="24"/>
  <c r="AI93" i="24"/>
  <c r="AE37" i="24"/>
  <c r="W8" i="24"/>
  <c r="Y8" i="24" s="1"/>
  <c r="X94" i="24"/>
  <c r="W49" i="24"/>
  <c r="Y49" i="24" s="1"/>
  <c r="P7" i="24"/>
  <c r="P58" i="24"/>
  <c r="X93" i="24"/>
  <c r="AA93" i="24" s="1"/>
  <c r="AB93" i="24" s="1"/>
  <c r="AC93" i="24" s="1"/>
  <c r="P12" i="24"/>
  <c r="AE8" i="24"/>
  <c r="P103" i="24"/>
  <c r="P102" i="24"/>
  <c r="BI5" i="24"/>
  <c r="P6" i="24"/>
  <c r="P75" i="24"/>
  <c r="AP65" i="24"/>
  <c r="P65" i="24"/>
  <c r="AE34" i="24"/>
  <c r="AF34" i="24" s="1"/>
  <c r="X99" i="24"/>
  <c r="AA99" i="24" s="1"/>
  <c r="AB99" i="24" s="1"/>
  <c r="AC99" i="24" s="1"/>
  <c r="AJ99" i="24" s="1"/>
  <c r="AI98" i="24"/>
  <c r="W98" i="24"/>
  <c r="Y98" i="24" s="1"/>
  <c r="AE98" i="24"/>
  <c r="X98" i="24"/>
  <c r="AA98" i="24" s="1"/>
  <c r="AB98" i="24" s="1"/>
  <c r="AC98" i="24" s="1"/>
  <c r="AE57" i="24"/>
  <c r="AI57" i="24"/>
  <c r="W57" i="24"/>
  <c r="Y57" i="24" s="1"/>
  <c r="X57" i="24"/>
  <c r="AA57" i="24" s="1"/>
  <c r="AB57" i="24" s="1"/>
  <c r="AC57" i="24" s="1"/>
  <c r="X58" i="24"/>
  <c r="AA58" i="24" s="1"/>
  <c r="AB58" i="24" s="1"/>
  <c r="AC58" i="24" s="1"/>
  <c r="AJ58" i="24" s="1"/>
  <c r="AE58" i="24"/>
  <c r="W58" i="24"/>
  <c r="Y58" i="24" s="1"/>
  <c r="X11" i="24"/>
  <c r="AA11" i="24" s="1"/>
  <c r="AB11" i="24" s="1"/>
  <c r="AC11" i="24" s="1"/>
  <c r="AJ11" i="24" s="1"/>
  <c r="AE11" i="24"/>
  <c r="AE12" i="24"/>
  <c r="AI12" i="24"/>
  <c r="X12" i="24"/>
  <c r="AA12" i="24" s="1"/>
  <c r="AB12" i="24" s="1"/>
  <c r="AC12" i="24" s="1"/>
  <c r="AP30" i="24"/>
  <c r="AI26" i="24"/>
  <c r="X26" i="24"/>
  <c r="AI62" i="24"/>
  <c r="W62" i="24"/>
  <c r="Y62" i="24" s="1"/>
  <c r="AE62" i="24"/>
  <c r="X62" i="24"/>
  <c r="AA62" i="24" s="1"/>
  <c r="AB62" i="24" s="1"/>
  <c r="AC62" i="24" s="1"/>
  <c r="AP20" i="24"/>
  <c r="AP48" i="24"/>
  <c r="AP34" i="24"/>
  <c r="W9" i="24"/>
  <c r="Y9" i="24" s="1"/>
  <c r="AI9" i="24"/>
  <c r="AE9" i="24"/>
  <c r="X9" i="24"/>
  <c r="AA9" i="24" s="1"/>
  <c r="AB9" i="24" s="1"/>
  <c r="AC9" i="24" s="1"/>
  <c r="AE90" i="24"/>
  <c r="X90" i="24"/>
  <c r="AA90" i="24" s="1"/>
  <c r="AB90" i="24" s="1"/>
  <c r="AC90" i="24" s="1"/>
  <c r="AI90" i="24"/>
  <c r="AE47" i="24"/>
  <c r="X47" i="24"/>
  <c r="AA47" i="24" s="1"/>
  <c r="AB47" i="24" s="1"/>
  <c r="AC47" i="24" s="1"/>
  <c r="AJ47" i="24" s="1"/>
  <c r="AE20" i="24"/>
  <c r="X20" i="24"/>
  <c r="AA20" i="24" s="1"/>
  <c r="AB20" i="24" s="1"/>
  <c r="AC20" i="24" s="1"/>
  <c r="AI20" i="24"/>
  <c r="P22" i="24"/>
  <c r="W20" i="24"/>
  <c r="Y20" i="24" s="1"/>
  <c r="W34" i="24"/>
  <c r="Y34" i="24" s="1"/>
  <c r="AE99" i="24"/>
  <c r="W47" i="24"/>
  <c r="Y47" i="24" s="1"/>
  <c r="AI61" i="24"/>
  <c r="AJ61" i="24" s="1"/>
  <c r="AE61" i="24"/>
  <c r="AF61" i="24" s="1"/>
  <c r="AI75" i="24"/>
  <c r="W75" i="24"/>
  <c r="Y75" i="24" s="1"/>
  <c r="AE75" i="24"/>
  <c r="X75" i="24"/>
  <c r="AA75" i="24" s="1"/>
  <c r="AB75" i="24" s="1"/>
  <c r="AC75" i="24" s="1"/>
  <c r="AI103" i="24"/>
  <c r="AE103" i="24"/>
  <c r="W103" i="24"/>
  <c r="Y103" i="24" s="1"/>
  <c r="X103" i="24"/>
  <c r="AA103" i="24" s="1"/>
  <c r="AB103" i="24" s="1"/>
  <c r="AC103" i="24" s="1"/>
  <c r="AI44" i="24"/>
  <c r="X44" i="24"/>
  <c r="AA44" i="24" s="1"/>
  <c r="AB44" i="24" s="1"/>
  <c r="AC44" i="24" s="1"/>
  <c r="W44" i="24"/>
  <c r="Y44" i="24" s="1"/>
  <c r="R84" i="24"/>
  <c r="P84" i="24"/>
  <c r="AI52" i="24"/>
  <c r="X52" i="24"/>
  <c r="AA52" i="24" s="1"/>
  <c r="AB52" i="24" s="1"/>
  <c r="AC52" i="24" s="1"/>
  <c r="AE52" i="24"/>
  <c r="W52" i="24"/>
  <c r="Y52" i="24" s="1"/>
  <c r="W45" i="24"/>
  <c r="Y45" i="24" s="1"/>
  <c r="AI45" i="24"/>
  <c r="AE45" i="24"/>
  <c r="X45" i="24"/>
  <c r="AA45" i="24" s="1"/>
  <c r="AB45" i="24" s="1"/>
  <c r="AC45" i="24" s="1"/>
  <c r="AP8" i="24"/>
  <c r="AP81" i="24"/>
  <c r="AP35" i="24"/>
  <c r="AP93" i="24"/>
  <c r="AP103" i="24"/>
  <c r="AE30" i="24"/>
  <c r="W30" i="24"/>
  <c r="Y30" i="24" s="1"/>
  <c r="X30" i="24"/>
  <c r="AA30" i="24" s="1"/>
  <c r="AB30" i="24" s="1"/>
  <c r="AC30" i="24" s="1"/>
  <c r="AI30" i="24"/>
  <c r="W38" i="24"/>
  <c r="Y38" i="24" s="1"/>
  <c r="AI38" i="24"/>
  <c r="AE38" i="24"/>
  <c r="X38" i="24"/>
  <c r="AA38" i="24" s="1"/>
  <c r="AB38" i="24" s="1"/>
  <c r="AC38" i="24" s="1"/>
  <c r="W15" i="24"/>
  <c r="Y15" i="24" s="1"/>
  <c r="X15" i="24"/>
  <c r="AA15" i="24" s="1"/>
  <c r="AB15" i="24" s="1"/>
  <c r="AC15" i="24" s="1"/>
  <c r="AJ15" i="24" s="1"/>
  <c r="AP52" i="24"/>
  <c r="AE24" i="24"/>
  <c r="W24" i="24"/>
  <c r="Y24" i="24" s="1"/>
  <c r="X24" i="24"/>
  <c r="AA24" i="24" s="1"/>
  <c r="AB24" i="24" s="1"/>
  <c r="AC24" i="24" s="1"/>
  <c r="AI24" i="24"/>
  <c r="AI48" i="24"/>
  <c r="X48" i="24"/>
  <c r="AA48" i="24" s="1"/>
  <c r="AB48" i="24" s="1"/>
  <c r="AC48" i="24" s="1"/>
  <c r="AE66" i="24"/>
  <c r="AI66" i="24"/>
  <c r="X66" i="24"/>
  <c r="AA66" i="24" s="1"/>
  <c r="AB66" i="24" s="1"/>
  <c r="AC66" i="24" s="1"/>
  <c r="W66" i="24"/>
  <c r="Y66" i="24" s="1"/>
  <c r="X76" i="24"/>
  <c r="AA76" i="24" s="1"/>
  <c r="AB76" i="24" s="1"/>
  <c r="AC76" i="24" s="1"/>
  <c r="W76" i="24"/>
  <c r="Y76" i="24" s="1"/>
  <c r="AE76" i="24"/>
  <c r="AI76" i="24"/>
  <c r="W80" i="24"/>
  <c r="Y80" i="24" s="1"/>
  <c r="AE80" i="24"/>
  <c r="AI80" i="24"/>
  <c r="X80" i="24"/>
  <c r="AA80" i="24" s="1"/>
  <c r="AB80" i="24" s="1"/>
  <c r="AC80" i="24" s="1"/>
  <c r="AF44" i="24"/>
  <c r="AT53" i="24"/>
  <c r="BA53" i="24" s="1"/>
  <c r="AP102" i="24"/>
  <c r="W90" i="24"/>
  <c r="Y90" i="24" s="1"/>
  <c r="P45" i="24"/>
  <c r="AE15" i="24"/>
  <c r="AF15" i="24" s="1"/>
  <c r="P44" i="24"/>
  <c r="X34" i="24"/>
  <c r="AA34" i="24" s="1"/>
  <c r="AB34" i="24" s="1"/>
  <c r="AC34" i="24" s="1"/>
  <c r="AJ34" i="24" s="1"/>
  <c r="AE48" i="24"/>
  <c r="AF48" i="24" s="1"/>
  <c r="AP71" i="24"/>
  <c r="AP11" i="24"/>
  <c r="AE39" i="24"/>
  <c r="X39" i="24"/>
  <c r="AA39" i="24" s="1"/>
  <c r="AB39" i="24" s="1"/>
  <c r="AC39" i="24" s="1"/>
  <c r="AI39" i="24"/>
  <c r="W39" i="24"/>
  <c r="Y39" i="24" s="1"/>
  <c r="AI84" i="24"/>
  <c r="X84" i="24"/>
  <c r="AA84" i="24" s="1"/>
  <c r="AB84" i="24" s="1"/>
  <c r="AC84" i="24" s="1"/>
  <c r="AE84" i="24"/>
  <c r="W84" i="24"/>
  <c r="Y84" i="24" s="1"/>
  <c r="AP26" i="24"/>
  <c r="AI88" i="24"/>
  <c r="AJ88" i="24" s="1"/>
  <c r="AE88" i="24"/>
  <c r="AF88" i="24" s="1"/>
  <c r="AE67" i="24"/>
  <c r="AI67" i="24"/>
  <c r="X67" i="24"/>
  <c r="AA67" i="24" s="1"/>
  <c r="AB67" i="24" s="1"/>
  <c r="AC67" i="24" s="1"/>
  <c r="W67" i="24"/>
  <c r="Y67" i="24" s="1"/>
  <c r="X77" i="24"/>
  <c r="AA77" i="24" s="1"/>
  <c r="AB77" i="24" s="1"/>
  <c r="AC77" i="24" s="1"/>
  <c r="AI77" i="24"/>
  <c r="AE77" i="24"/>
  <c r="W77" i="24"/>
  <c r="Y77" i="24" s="1"/>
  <c r="AI17" i="24"/>
  <c r="X17" i="24"/>
  <c r="AA17" i="24" s="1"/>
  <c r="AB17" i="24" s="1"/>
  <c r="AC17" i="24" s="1"/>
  <c r="AE17" i="24"/>
  <c r="W17" i="24"/>
  <c r="Y17" i="24" s="1"/>
  <c r="AE16" i="24"/>
  <c r="X16" i="24"/>
  <c r="AA16" i="24" s="1"/>
  <c r="AB16" i="24" s="1"/>
  <c r="AC16" i="24" s="1"/>
  <c r="AI16" i="24"/>
  <c r="AI81" i="24"/>
  <c r="X81" i="24"/>
  <c r="AA81" i="24" s="1"/>
  <c r="AB81" i="24" s="1"/>
  <c r="AC81" i="24" s="1"/>
  <c r="W81" i="24"/>
  <c r="Y81" i="24" s="1"/>
  <c r="W35" i="24"/>
  <c r="Y35" i="24" s="1"/>
  <c r="AE35" i="24"/>
  <c r="AF35" i="24" s="1"/>
  <c r="W7" i="24"/>
  <c r="Y7" i="24" s="1"/>
  <c r="X7" i="24"/>
  <c r="AA7" i="24" s="1"/>
  <c r="AB7" i="24" s="1"/>
  <c r="AC7" i="24" s="1"/>
  <c r="AI7" i="24"/>
  <c r="AE7" i="24"/>
  <c r="AI6" i="24"/>
  <c r="AJ6" i="24" s="1"/>
  <c r="AE6" i="24"/>
  <c r="AT50" i="24"/>
  <c r="BA50" i="24" s="1"/>
  <c r="AT32" i="24"/>
  <c r="BA32" i="24" s="1"/>
  <c r="AT23" i="24"/>
  <c r="BA23" i="24" s="1"/>
  <c r="AT25" i="24"/>
  <c r="BA25" i="24" s="1"/>
  <c r="AT14" i="24"/>
  <c r="BA14" i="24" s="1"/>
  <c r="AX5" i="24"/>
  <c r="AT5" i="24"/>
  <c r="BA5" i="24" s="1"/>
  <c r="AF110" i="24"/>
  <c r="AK110" i="24" s="1"/>
  <c r="BJ5" i="24"/>
  <c r="AK5" i="24"/>
  <c r="AS5" i="24"/>
  <c r="AQ5" i="24"/>
  <c r="BH5" i="24"/>
  <c r="BS5" i="24"/>
  <c r="AF110" i="25"/>
  <c r="AJ110" i="25" s="1"/>
  <c r="Z5" i="25"/>
  <c r="AA5" i="25" s="1"/>
  <c r="AB5" i="25" s="1"/>
  <c r="AI5" i="25" s="1"/>
  <c r="AF5" i="25"/>
  <c r="AS40" i="25"/>
  <c r="AX40" i="25" s="1"/>
  <c r="AS13" i="25"/>
  <c r="AX13" i="25" s="1"/>
  <c r="AS29" i="25"/>
  <c r="AX29" i="25" s="1"/>
  <c r="AS44" i="25"/>
  <c r="AX44" i="25" s="1"/>
  <c r="AS14" i="25"/>
  <c r="AX14" i="25" s="1"/>
  <c r="AS36" i="25"/>
  <c r="AX36" i="25" s="1"/>
  <c r="AS9" i="25"/>
  <c r="AX9" i="25" s="1"/>
  <c r="AS47" i="25"/>
  <c r="AX47" i="25" s="1"/>
  <c r="AS22" i="25"/>
  <c r="AX22" i="25" s="1"/>
  <c r="AS88" i="25"/>
  <c r="AX88" i="25" s="1"/>
  <c r="AS79" i="25"/>
  <c r="AX79" i="25" s="1"/>
  <c r="AS20" i="25"/>
  <c r="AX20" i="25" s="1"/>
  <c r="AS96" i="25"/>
  <c r="AX96" i="25" s="1"/>
  <c r="AS62" i="25"/>
  <c r="AX62" i="25" s="1"/>
  <c r="AS86" i="25"/>
  <c r="AX86" i="25" s="1"/>
  <c r="AS93" i="25"/>
  <c r="AX93" i="25" s="1"/>
  <c r="AS61" i="25"/>
  <c r="AX61" i="25" s="1"/>
  <c r="AS70" i="25"/>
  <c r="AX70" i="25" s="1"/>
  <c r="AS26" i="25"/>
  <c r="AX26" i="25" s="1"/>
  <c r="AS38" i="25"/>
  <c r="AX38" i="25" s="1"/>
  <c r="AS24" i="25"/>
  <c r="AX24" i="25" s="1"/>
  <c r="AS104" i="25"/>
  <c r="AX104" i="25" s="1"/>
  <c r="AS27" i="25"/>
  <c r="AX27" i="25" s="1"/>
  <c r="AS102" i="25"/>
  <c r="AX102" i="25" s="1"/>
  <c r="AS17" i="25"/>
  <c r="AX17" i="25" s="1"/>
  <c r="AS48" i="25"/>
  <c r="AX48" i="25" s="1"/>
  <c r="AS30" i="25"/>
  <c r="AX30" i="25" s="1"/>
  <c r="AS103" i="25"/>
  <c r="AX103" i="25" s="1"/>
  <c r="AS28" i="25"/>
  <c r="AX28" i="25" s="1"/>
  <c r="AS105" i="25"/>
  <c r="AX105" i="25" s="1"/>
  <c r="B104" i="2" s="1"/>
  <c r="AS81" i="25"/>
  <c r="AX81" i="25" s="1"/>
  <c r="AS11" i="25"/>
  <c r="AX11" i="25" s="1"/>
  <c r="AS91" i="25"/>
  <c r="AX91" i="25" s="1"/>
  <c r="AS49" i="25"/>
  <c r="AX49" i="25" s="1"/>
  <c r="AS6" i="25"/>
  <c r="AX6" i="25" s="1"/>
  <c r="AS56" i="25"/>
  <c r="AX56" i="25" s="1"/>
  <c r="AS76" i="25"/>
  <c r="AX76" i="25" s="1"/>
  <c r="AS92" i="25"/>
  <c r="AX92" i="25" s="1"/>
  <c r="AS78" i="25"/>
  <c r="AX78" i="25" s="1"/>
  <c r="AS94" i="25"/>
  <c r="AX94" i="25" s="1"/>
  <c r="AS41" i="25"/>
  <c r="AX41" i="25" s="1"/>
  <c r="AS21" i="25"/>
  <c r="AX21" i="25" s="1"/>
  <c r="AS8" i="25"/>
  <c r="AX8" i="25" s="1"/>
  <c r="AS67" i="25"/>
  <c r="AX67" i="25" s="1"/>
  <c r="AS42" i="25"/>
  <c r="AX42" i="25" s="1"/>
  <c r="AS101" i="25"/>
  <c r="AX101" i="25" s="1"/>
  <c r="AS51" i="25"/>
  <c r="AX51" i="25" s="1"/>
  <c r="AS64" i="25"/>
  <c r="AX64" i="25" s="1"/>
  <c r="AS12" i="25"/>
  <c r="AX12" i="25" s="1"/>
  <c r="AS87" i="25"/>
  <c r="AX87" i="25" s="1"/>
  <c r="AS37" i="25"/>
  <c r="AX37" i="25" s="1"/>
  <c r="AS82" i="25"/>
  <c r="AX82" i="25" s="1"/>
  <c r="AS54" i="25"/>
  <c r="AX54" i="25" s="1"/>
  <c r="AS68" i="25"/>
  <c r="AX68" i="25" s="1"/>
  <c r="AS52" i="25"/>
  <c r="AX52" i="25" s="1"/>
  <c r="AS63" i="25"/>
  <c r="AX63" i="25" s="1"/>
  <c r="AS35" i="25"/>
  <c r="AX35" i="25" s="1"/>
  <c r="AS53" i="25"/>
  <c r="AX53" i="25" s="1"/>
  <c r="AS83" i="25"/>
  <c r="AX83" i="25" s="1"/>
  <c r="AS59" i="25"/>
  <c r="AX59" i="25" s="1"/>
  <c r="AS100" i="25"/>
  <c r="AX100" i="25" s="1"/>
  <c r="AS15" i="25"/>
  <c r="AX15" i="25" s="1"/>
  <c r="AS71" i="25"/>
  <c r="AX71" i="25" s="1"/>
  <c r="AS97" i="25"/>
  <c r="AX97" i="25" s="1"/>
  <c r="AS31" i="25"/>
  <c r="AX31" i="25" s="1"/>
  <c r="AS69" i="25"/>
  <c r="AX69" i="25" s="1"/>
  <c r="AJ216" i="25"/>
  <c r="AM216" i="25"/>
  <c r="AJ265" i="25"/>
  <c r="AM265" i="25"/>
  <c r="CB265" i="25" s="1"/>
  <c r="AM275" i="25"/>
  <c r="CB275" i="25" s="1"/>
  <c r="AJ275" i="25"/>
  <c r="AJ189" i="25"/>
  <c r="AM189" i="25"/>
  <c r="BT189" i="25" s="1"/>
  <c r="AJ224" i="25"/>
  <c r="AM224" i="25"/>
  <c r="CB224" i="25" s="1"/>
  <c r="AJ259" i="25"/>
  <c r="AM259" i="25"/>
  <c r="AJ156" i="25"/>
  <c r="AM156" i="25"/>
  <c r="BT156" i="25" s="1"/>
  <c r="AM162" i="25"/>
  <c r="BT162" i="25" s="1"/>
  <c r="AJ162" i="25"/>
  <c r="AM174" i="25"/>
  <c r="BT174" i="25" s="1"/>
  <c r="AJ174" i="25"/>
  <c r="AJ31" i="25"/>
  <c r="AM31" i="25"/>
  <c r="BT31" i="25" s="1"/>
  <c r="AJ116" i="25"/>
  <c r="AM116" i="25"/>
  <c r="BT116" i="25" s="1"/>
  <c r="AS10" i="25"/>
  <c r="AX10" i="25" s="1"/>
  <c r="AJ59" i="25"/>
  <c r="AM59" i="25"/>
  <c r="CB59" i="25" s="1"/>
  <c r="AJ293" i="25"/>
  <c r="AM293" i="25"/>
  <c r="CB293" i="25" s="1"/>
  <c r="AM138" i="25"/>
  <c r="BT138" i="25" s="1"/>
  <c r="AJ138" i="25"/>
  <c r="AJ127" i="25"/>
  <c r="AM127" i="25"/>
  <c r="BT127" i="25" s="1"/>
  <c r="AJ99" i="25"/>
  <c r="AM99" i="25"/>
  <c r="CB99" i="25" s="1"/>
  <c r="AJ26" i="25"/>
  <c r="AM26" i="25"/>
  <c r="CB26" i="25" s="1"/>
  <c r="AM136" i="25"/>
  <c r="BT136" i="25" s="1"/>
  <c r="AJ136" i="25"/>
  <c r="AM98" i="25"/>
  <c r="BT98" i="25" s="1"/>
  <c r="AJ98" i="25"/>
  <c r="AM254" i="25"/>
  <c r="AJ254" i="25"/>
  <c r="AJ173" i="25"/>
  <c r="AM173" i="25"/>
  <c r="CB173" i="25" s="1"/>
  <c r="AS60" i="25"/>
  <c r="AX60" i="25" s="1"/>
  <c r="AM311" i="25"/>
  <c r="CB311" i="25" s="1"/>
  <c r="AJ311" i="25"/>
  <c r="AM159" i="25"/>
  <c r="BT159" i="25" s="1"/>
  <c r="AJ159" i="25"/>
  <c r="AM103" i="25"/>
  <c r="CB103" i="25" s="1"/>
  <c r="AJ103" i="25"/>
  <c r="AJ85" i="25"/>
  <c r="AM85" i="25"/>
  <c r="BS85" i="25" s="1"/>
  <c r="AJ269" i="25"/>
  <c r="AM269" i="25"/>
  <c r="CB269" i="25" s="1"/>
  <c r="AS57" i="25"/>
  <c r="AX57" i="25" s="1"/>
  <c r="AJ157" i="25"/>
  <c r="AM157" i="25"/>
  <c r="BT157" i="25" s="1"/>
  <c r="AJ242" i="25"/>
  <c r="AM242" i="25"/>
  <c r="CB242" i="25" s="1"/>
  <c r="AM102" i="25"/>
  <c r="CB102" i="25" s="1"/>
  <c r="AJ102" i="25"/>
  <c r="AM93" i="25"/>
  <c r="CB93" i="25" s="1"/>
  <c r="AJ93" i="25"/>
  <c r="AM87" i="25"/>
  <c r="CB87" i="25" s="1"/>
  <c r="AJ87" i="25"/>
  <c r="AJ135" i="25"/>
  <c r="AM135" i="25"/>
  <c r="AM309" i="25"/>
  <c r="CB309" i="25" s="1"/>
  <c r="AJ309" i="25"/>
  <c r="AJ310" i="25"/>
  <c r="AM310" i="25"/>
  <c r="CB310" i="25" s="1"/>
  <c r="AJ15" i="25"/>
  <c r="AM15" i="25"/>
  <c r="BT15" i="25" s="1"/>
  <c r="AM14" i="25"/>
  <c r="CB14" i="25" s="1"/>
  <c r="AJ14" i="25"/>
  <c r="AM257" i="25"/>
  <c r="AJ257" i="25"/>
  <c r="AJ153" i="25"/>
  <c r="AM153" i="25"/>
  <c r="BT153" i="25" s="1"/>
  <c r="AJ210" i="25"/>
  <c r="AM210" i="25"/>
  <c r="BT210" i="25" s="1"/>
  <c r="AS46" i="25"/>
  <c r="AX46" i="25" s="1"/>
  <c r="AM178" i="25"/>
  <c r="BT178" i="25" s="1"/>
  <c r="AJ178" i="25"/>
  <c r="AM57" i="25"/>
  <c r="BS57" i="25" s="1"/>
  <c r="AJ57" i="25"/>
  <c r="AJ272" i="25"/>
  <c r="AM272" i="25"/>
  <c r="CB272" i="25" s="1"/>
  <c r="AS23" i="25"/>
  <c r="AX23" i="25" s="1"/>
  <c r="AM56" i="25"/>
  <c r="BT56" i="25" s="1"/>
  <c r="AJ56" i="25"/>
  <c r="AS58" i="25"/>
  <c r="AX58" i="25" s="1"/>
  <c r="AJ113" i="25"/>
  <c r="AM113" i="25"/>
  <c r="BT113" i="25" s="1"/>
  <c r="AM155" i="25"/>
  <c r="BT155" i="25" s="1"/>
  <c r="AJ155" i="25"/>
  <c r="AJ180" i="25"/>
  <c r="AM180" i="25"/>
  <c r="BT180" i="25" s="1"/>
  <c r="AS90" i="25"/>
  <c r="AX90" i="25" s="1"/>
  <c r="AM81" i="25"/>
  <c r="CB81" i="25" s="1"/>
  <c r="AJ81" i="25"/>
  <c r="AM139" i="25"/>
  <c r="BT139" i="25" s="1"/>
  <c r="AJ139" i="25"/>
  <c r="AS33" i="25"/>
  <c r="AX33" i="25" s="1"/>
  <c r="AM17" i="25"/>
  <c r="CB17" i="25" s="1"/>
  <c r="AJ17" i="25"/>
  <c r="AM264" i="25"/>
  <c r="CB264" i="25" s="1"/>
  <c r="AJ264" i="25"/>
  <c r="AM66" i="25"/>
  <c r="BS66" i="25" s="1"/>
  <c r="AJ66" i="25"/>
  <c r="AM286" i="25"/>
  <c r="CB286" i="25" s="1"/>
  <c r="AJ286" i="25"/>
  <c r="AJ131" i="25"/>
  <c r="AM131" i="25"/>
  <c r="BT131" i="25" s="1"/>
  <c r="AJ143" i="25"/>
  <c r="AM143" i="25"/>
  <c r="BT143" i="25" s="1"/>
  <c r="AM250" i="25"/>
  <c r="AJ250" i="25"/>
  <c r="AJ244" i="25"/>
  <c r="AM244" i="25"/>
  <c r="CB244" i="25" s="1"/>
  <c r="AM78" i="25"/>
  <c r="CB78" i="25" s="1"/>
  <c r="AJ78" i="25"/>
  <c r="AM35" i="25"/>
  <c r="BT35" i="25" s="1"/>
  <c r="AJ35" i="25"/>
  <c r="AM53" i="25"/>
  <c r="CB53" i="25" s="1"/>
  <c r="AJ53" i="25"/>
  <c r="AM74" i="25"/>
  <c r="BT74" i="25" s="1"/>
  <c r="AJ74" i="25"/>
  <c r="AM39" i="25"/>
  <c r="BT39" i="25" s="1"/>
  <c r="AJ39" i="25"/>
  <c r="AJ121" i="25"/>
  <c r="AM121" i="25"/>
  <c r="BT121" i="25" s="1"/>
  <c r="AJ170" i="25"/>
  <c r="AM170" i="25"/>
  <c r="BT170" i="25" s="1"/>
  <c r="AM20" i="25"/>
  <c r="CB20" i="25" s="1"/>
  <c r="AJ20" i="25"/>
  <c r="AM260" i="25"/>
  <c r="CB260" i="25" s="1"/>
  <c r="AJ260" i="25"/>
  <c r="AM22" i="25"/>
  <c r="BT22" i="25" s="1"/>
  <c r="AJ22" i="25"/>
  <c r="AM251" i="25"/>
  <c r="AJ251" i="25"/>
  <c r="AJ222" i="25"/>
  <c r="AM222" i="25"/>
  <c r="AJ196" i="25"/>
  <c r="AM196" i="25"/>
  <c r="BT196" i="25" s="1"/>
  <c r="AM16" i="25"/>
  <c r="BS16" i="25" s="1"/>
  <c r="AJ16" i="25"/>
  <c r="AM194" i="25"/>
  <c r="BT194" i="25" s="1"/>
  <c r="AJ194" i="25"/>
  <c r="AJ313" i="25"/>
  <c r="AM313" i="25"/>
  <c r="AJ166" i="25"/>
  <c r="AM166" i="25"/>
  <c r="BT166" i="25" s="1"/>
  <c r="AM41" i="25"/>
  <c r="BT41" i="25" s="1"/>
  <c r="AJ41" i="25"/>
  <c r="AM252" i="25"/>
  <c r="AJ252" i="25"/>
  <c r="AM182" i="25"/>
  <c r="BT182" i="25" s="1"/>
  <c r="AJ182" i="25"/>
  <c r="AJ273" i="25"/>
  <c r="AM273" i="25"/>
  <c r="CB273" i="25" s="1"/>
  <c r="AM55" i="25"/>
  <c r="BT55" i="25" s="1"/>
  <c r="AJ55" i="25"/>
  <c r="AJ233" i="25"/>
  <c r="AM233" i="25"/>
  <c r="CB233" i="25" s="1"/>
  <c r="AM38" i="25"/>
  <c r="CB38" i="25" s="1"/>
  <c r="AJ38" i="25"/>
  <c r="AS73" i="25"/>
  <c r="AX73" i="25" s="1"/>
  <c r="AS25" i="25"/>
  <c r="AX25" i="25" s="1"/>
  <c r="AS98" i="25"/>
  <c r="AX98" i="25" s="1"/>
  <c r="AJ64" i="25"/>
  <c r="AM64" i="25"/>
  <c r="CB64" i="25" s="1"/>
  <c r="AM245" i="25"/>
  <c r="AJ245" i="25"/>
  <c r="AM228" i="25"/>
  <c r="AJ228" i="25"/>
  <c r="AM295" i="25"/>
  <c r="CB295" i="25" s="1"/>
  <c r="AJ295" i="25"/>
  <c r="AM70" i="25"/>
  <c r="CB70" i="25" s="1"/>
  <c r="AJ70" i="25"/>
  <c r="AS43" i="25"/>
  <c r="AX43" i="25" s="1"/>
  <c r="AM217" i="25"/>
  <c r="CB217" i="25" s="1"/>
  <c r="AJ217" i="25"/>
  <c r="AS45" i="25"/>
  <c r="AX45" i="25" s="1"/>
  <c r="AM290" i="25"/>
  <c r="CB290" i="25" s="1"/>
  <c r="AJ290" i="25"/>
  <c r="AJ186" i="25"/>
  <c r="AM186" i="25"/>
  <c r="BT186" i="25" s="1"/>
  <c r="AJ282" i="25"/>
  <c r="AM282" i="25"/>
  <c r="CB282" i="25" s="1"/>
  <c r="AJ270" i="25"/>
  <c r="AM270" i="25"/>
  <c r="CB270" i="25" s="1"/>
  <c r="AJ51" i="25"/>
  <c r="AM51" i="25"/>
  <c r="CB51" i="25" s="1"/>
  <c r="AJ29" i="25"/>
  <c r="AM29" i="25"/>
  <c r="CB29" i="25" s="1"/>
  <c r="AJ7" i="25"/>
  <c r="AM7" i="25"/>
  <c r="BF7" i="25" s="1"/>
  <c r="AJ184" i="25"/>
  <c r="AM184" i="25"/>
  <c r="BT184" i="25" s="1"/>
  <c r="AJ112" i="25"/>
  <c r="AM112" i="25"/>
  <c r="BT112" i="25" s="1"/>
  <c r="AM158" i="25"/>
  <c r="BT158" i="25" s="1"/>
  <c r="AJ158" i="25"/>
  <c r="AM18" i="25"/>
  <c r="BF18" i="25" s="1"/>
  <c r="AJ18" i="25"/>
  <c r="AM34" i="25"/>
  <c r="BF34" i="25" s="1"/>
  <c r="AJ34" i="25"/>
  <c r="AJ95" i="25"/>
  <c r="AM95" i="25"/>
  <c r="BT95" i="25" s="1"/>
  <c r="AJ276" i="25"/>
  <c r="AM276" i="25"/>
  <c r="CB276" i="25" s="1"/>
  <c r="AJ171" i="25"/>
  <c r="AM171" i="25"/>
  <c r="BT171" i="25" s="1"/>
  <c r="AJ266" i="25"/>
  <c r="AM266" i="25"/>
  <c r="AM200" i="25"/>
  <c r="BT200" i="25" s="1"/>
  <c r="AJ200" i="25"/>
  <c r="AM152" i="25"/>
  <c r="BT152" i="25" s="1"/>
  <c r="AJ152" i="25"/>
  <c r="AJ89" i="25"/>
  <c r="AM89" i="25"/>
  <c r="AJ151" i="25"/>
  <c r="AM151" i="25"/>
  <c r="BT151" i="25" s="1"/>
  <c r="AS16" i="25"/>
  <c r="AX16" i="25" s="1"/>
  <c r="AJ314" i="25"/>
  <c r="AM314" i="25"/>
  <c r="CB314" i="25" s="1"/>
  <c r="AM75" i="25"/>
  <c r="BT75" i="25" s="1"/>
  <c r="AJ75" i="25"/>
  <c r="AJ165" i="25"/>
  <c r="AM165" i="25"/>
  <c r="BT165" i="25" s="1"/>
  <c r="AM150" i="25"/>
  <c r="BT150" i="25" s="1"/>
  <c r="AJ150" i="25"/>
  <c r="AM191" i="25"/>
  <c r="BT191" i="25" s="1"/>
  <c r="AJ191" i="25"/>
  <c r="AM287" i="25"/>
  <c r="CB287" i="25" s="1"/>
  <c r="AJ287" i="25"/>
  <c r="AM291" i="25"/>
  <c r="CB291" i="25" s="1"/>
  <c r="AJ291" i="25"/>
  <c r="AM84" i="25"/>
  <c r="BT84" i="25" s="1"/>
  <c r="AJ84" i="25"/>
  <c r="AM49" i="25"/>
  <c r="CB49" i="25" s="1"/>
  <c r="AJ49" i="25"/>
  <c r="AJ229" i="25"/>
  <c r="AM229" i="25"/>
  <c r="AM160" i="25"/>
  <c r="BT160" i="25" s="1"/>
  <c r="AJ160" i="25"/>
  <c r="AM128" i="25"/>
  <c r="BT128" i="25" s="1"/>
  <c r="AJ128" i="25"/>
  <c r="AJ126" i="25"/>
  <c r="AM126" i="25"/>
  <c r="BT126" i="25" s="1"/>
  <c r="AM241" i="25"/>
  <c r="CB241" i="25" s="1"/>
  <c r="AJ241" i="25"/>
  <c r="AJ28" i="25"/>
  <c r="AM28" i="25"/>
  <c r="BT28" i="25" s="1"/>
  <c r="AM208" i="25"/>
  <c r="BT208" i="25" s="1"/>
  <c r="AJ208" i="25"/>
  <c r="AJ149" i="25"/>
  <c r="AM149" i="25"/>
  <c r="BT149" i="25" s="1"/>
  <c r="AM117" i="25"/>
  <c r="BT117" i="25" s="1"/>
  <c r="AJ117" i="25"/>
  <c r="AS18" i="25"/>
  <c r="AX18" i="25" s="1"/>
  <c r="AJ72" i="25"/>
  <c r="AM72" i="25"/>
  <c r="BT72" i="25" s="1"/>
  <c r="AS34" i="25"/>
  <c r="AX34" i="25" s="1"/>
  <c r="AM71" i="25"/>
  <c r="BT71" i="25" s="1"/>
  <c r="AJ71" i="25"/>
  <c r="AM58" i="25"/>
  <c r="BT58" i="25" s="1"/>
  <c r="AJ58" i="25"/>
  <c r="AJ105" i="25"/>
  <c r="AM105" i="25"/>
  <c r="CB105" i="25" s="1"/>
  <c r="AM97" i="25"/>
  <c r="CB97" i="25" s="1"/>
  <c r="AJ97" i="25"/>
  <c r="AM277" i="25"/>
  <c r="CB277" i="25" s="1"/>
  <c r="AJ277" i="25"/>
  <c r="AJ129" i="25"/>
  <c r="AM129" i="25"/>
  <c r="BT129" i="25" s="1"/>
  <c r="AM92" i="25"/>
  <c r="CB92" i="25" s="1"/>
  <c r="AJ92" i="25"/>
  <c r="AM249" i="25"/>
  <c r="CB249" i="25" s="1"/>
  <c r="AJ249" i="25"/>
  <c r="AM32" i="25"/>
  <c r="BT32" i="25" s="1"/>
  <c r="AJ32" i="25"/>
  <c r="AJ296" i="25"/>
  <c r="AM296" i="25"/>
  <c r="AM288" i="25"/>
  <c r="CB288" i="25" s="1"/>
  <c r="AJ288" i="25"/>
  <c r="AJ114" i="25"/>
  <c r="AM114" i="25"/>
  <c r="BT114" i="25" s="1"/>
  <c r="AJ69" i="25"/>
  <c r="AM69" i="25"/>
  <c r="CB69" i="25" s="1"/>
  <c r="AJ188" i="25"/>
  <c r="AM188" i="25"/>
  <c r="BT188" i="25" s="1"/>
  <c r="AJ90" i="25"/>
  <c r="AM90" i="25"/>
  <c r="BT90" i="25" s="1"/>
  <c r="AM9" i="25"/>
  <c r="BT9" i="25" s="1"/>
  <c r="AJ9" i="25"/>
  <c r="AJ234" i="25"/>
  <c r="AM234" i="25"/>
  <c r="AJ67" i="25"/>
  <c r="AM67" i="25"/>
  <c r="CB67" i="25" s="1"/>
  <c r="AJ271" i="25"/>
  <c r="AM271" i="25"/>
  <c r="AJ10" i="25"/>
  <c r="AM10" i="25"/>
  <c r="BF10" i="25" s="1"/>
  <c r="AJ279" i="25"/>
  <c r="AM279" i="25"/>
  <c r="CB279" i="25" s="1"/>
  <c r="AJ45" i="25"/>
  <c r="AM45" i="25"/>
  <c r="CB45" i="25" s="1"/>
  <c r="AS66" i="25"/>
  <c r="AX66" i="25" s="1"/>
  <c r="AM303" i="25"/>
  <c r="AJ303" i="25"/>
  <c r="AM176" i="25"/>
  <c r="BT176" i="25" s="1"/>
  <c r="AJ176" i="25"/>
  <c r="AJ239" i="25"/>
  <c r="AM239" i="25"/>
  <c r="AJ104" i="25"/>
  <c r="AM104" i="25"/>
  <c r="CB104" i="25" s="1"/>
  <c r="AJ61" i="25"/>
  <c r="AM61" i="25"/>
  <c r="CB61" i="25" s="1"/>
  <c r="AS89" i="25"/>
  <c r="AX89" i="25" s="1"/>
  <c r="AS80" i="25"/>
  <c r="AX80" i="25" s="1"/>
  <c r="AJ258" i="25"/>
  <c r="AM258" i="25"/>
  <c r="CB258" i="25" s="1"/>
  <c r="AM120" i="25"/>
  <c r="BT120" i="25" s="1"/>
  <c r="AJ120" i="25"/>
  <c r="AJ263" i="25"/>
  <c r="AM263" i="25"/>
  <c r="AJ11" i="25"/>
  <c r="AM11" i="25"/>
  <c r="BT11" i="25" s="1"/>
  <c r="AJ115" i="25"/>
  <c r="AM115" i="25"/>
  <c r="BT115" i="25" s="1"/>
  <c r="AS19" i="25"/>
  <c r="AX19" i="25" s="1"/>
  <c r="AJ141" i="25"/>
  <c r="AM141" i="25"/>
  <c r="BT141" i="25" s="1"/>
  <c r="AM168" i="25"/>
  <c r="BT168" i="25" s="1"/>
  <c r="AJ168" i="25"/>
  <c r="AM278" i="25"/>
  <c r="CB278" i="25" s="1"/>
  <c r="AJ278" i="25"/>
  <c r="AJ302" i="25"/>
  <c r="AM302" i="25"/>
  <c r="CB302" i="25" s="1"/>
  <c r="AJ218" i="25"/>
  <c r="AM218" i="25"/>
  <c r="AJ65" i="25"/>
  <c r="AM65" i="25"/>
  <c r="BT65" i="25" s="1"/>
  <c r="AM122" i="25"/>
  <c r="BT122" i="25" s="1"/>
  <c r="AJ122" i="25"/>
  <c r="AJ285" i="25"/>
  <c r="AM285" i="25"/>
  <c r="AM144" i="25"/>
  <c r="BT144" i="25" s="1"/>
  <c r="AJ144" i="25"/>
  <c r="AM221" i="25"/>
  <c r="AJ221" i="25"/>
  <c r="AJ297" i="25"/>
  <c r="AM297" i="25"/>
  <c r="AJ181" i="25"/>
  <c r="AM181" i="25"/>
  <c r="BT181" i="25" s="1"/>
  <c r="AJ240" i="25"/>
  <c r="AM240" i="25"/>
  <c r="CB240" i="25" s="1"/>
  <c r="AM43" i="25"/>
  <c r="BT43" i="25" s="1"/>
  <c r="AJ43" i="25"/>
  <c r="AM101" i="25"/>
  <c r="CB101" i="25" s="1"/>
  <c r="AJ101" i="25"/>
  <c r="AJ223" i="25"/>
  <c r="AM223" i="25"/>
  <c r="AJ100" i="25"/>
  <c r="AM100" i="25"/>
  <c r="CB100" i="25" s="1"/>
  <c r="AS72" i="25"/>
  <c r="AX72" i="25" s="1"/>
  <c r="AJ133" i="25"/>
  <c r="AM133" i="25"/>
  <c r="AJ198" i="25"/>
  <c r="AM198" i="25"/>
  <c r="BT198" i="25" s="1"/>
  <c r="AJ177" i="25"/>
  <c r="AM177" i="25"/>
  <c r="BT177" i="25" s="1"/>
  <c r="AJ227" i="25"/>
  <c r="AM227" i="25"/>
  <c r="CB227" i="25" s="1"/>
  <c r="AM25" i="25"/>
  <c r="BT25" i="25" s="1"/>
  <c r="AJ25" i="25"/>
  <c r="AJ62" i="25"/>
  <c r="AM62" i="25"/>
  <c r="BT62" i="25" s="1"/>
  <c r="AM37" i="25"/>
  <c r="CB37" i="25" s="1"/>
  <c r="AJ37" i="25"/>
  <c r="AM289" i="25"/>
  <c r="CB289" i="25" s="1"/>
  <c r="AJ289" i="25"/>
  <c r="AM261" i="25"/>
  <c r="CB261" i="25" s="1"/>
  <c r="AJ261" i="25"/>
  <c r="AJ185" i="25"/>
  <c r="AM185" i="25"/>
  <c r="BT185" i="25" s="1"/>
  <c r="AJ119" i="25"/>
  <c r="AM119" i="25"/>
  <c r="BT119" i="25" s="1"/>
  <c r="AM24" i="25"/>
  <c r="BT24" i="25" s="1"/>
  <c r="AJ24" i="25"/>
  <c r="AJ161" i="25"/>
  <c r="AM161" i="25"/>
  <c r="BT161" i="25" s="1"/>
  <c r="AJ280" i="25"/>
  <c r="AM280" i="25"/>
  <c r="CB280" i="25" s="1"/>
  <c r="AM268" i="25"/>
  <c r="AJ268" i="25"/>
  <c r="AJ6" i="25"/>
  <c r="AM6" i="25"/>
  <c r="CB6" i="25" s="1"/>
  <c r="AJ308" i="25"/>
  <c r="AM308" i="25"/>
  <c r="CB308" i="25" s="1"/>
  <c r="AJ12" i="25"/>
  <c r="AM12" i="25"/>
  <c r="CB12" i="25" s="1"/>
  <c r="AS50" i="25"/>
  <c r="AX50" i="25" s="1"/>
  <c r="AS65" i="25"/>
  <c r="AX65" i="25" s="1"/>
  <c r="AM253" i="25"/>
  <c r="CB253" i="25" s="1"/>
  <c r="AJ253" i="25"/>
  <c r="AS75" i="25"/>
  <c r="AX75" i="25" s="1"/>
  <c r="AS84" i="25"/>
  <c r="AX84" i="25" s="1"/>
  <c r="AM79" i="25"/>
  <c r="CB79" i="25" s="1"/>
  <c r="AJ79" i="25"/>
  <c r="AM142" i="25"/>
  <c r="BT142" i="25" s="1"/>
  <c r="AJ142" i="25"/>
  <c r="AM13" i="25"/>
  <c r="BT13" i="25" s="1"/>
  <c r="AJ13" i="25"/>
  <c r="AS39" i="25"/>
  <c r="AX39" i="25" s="1"/>
  <c r="AJ148" i="25"/>
  <c r="AM148" i="25"/>
  <c r="BT148" i="25" s="1"/>
  <c r="AM36" i="25"/>
  <c r="CB36" i="25" s="1"/>
  <c r="AJ36" i="25"/>
  <c r="AJ274" i="25"/>
  <c r="AM274" i="25"/>
  <c r="CB274" i="25" s="1"/>
  <c r="AM76" i="25"/>
  <c r="CB76" i="25" s="1"/>
  <c r="AJ76" i="25"/>
  <c r="AJ267" i="25"/>
  <c r="AM267" i="25"/>
  <c r="CB267" i="25" s="1"/>
  <c r="AJ195" i="25"/>
  <c r="AM195" i="25"/>
  <c r="BT195" i="25" s="1"/>
  <c r="AJ202" i="25"/>
  <c r="AM202" i="25"/>
  <c r="BT202" i="25" s="1"/>
  <c r="AM130" i="25"/>
  <c r="BT130" i="25" s="1"/>
  <c r="AJ130" i="25"/>
  <c r="AM52" i="25"/>
  <c r="BT52" i="25" s="1"/>
  <c r="AJ52" i="25"/>
  <c r="AJ179" i="25"/>
  <c r="AM179" i="25"/>
  <c r="BT179" i="25" s="1"/>
  <c r="AJ145" i="25"/>
  <c r="AM145" i="25"/>
  <c r="BT145" i="25" s="1"/>
  <c r="AM46" i="25"/>
  <c r="BT46" i="25" s="1"/>
  <c r="AJ46" i="25"/>
  <c r="AJ183" i="25"/>
  <c r="AM183" i="25"/>
  <c r="BT183" i="25" s="1"/>
  <c r="AJ47" i="25"/>
  <c r="AM47" i="25"/>
  <c r="CB47" i="25" s="1"/>
  <c r="AM19" i="25"/>
  <c r="BF19" i="25" s="1"/>
  <c r="AJ19" i="25"/>
  <c r="AM23" i="25"/>
  <c r="BS23" i="25" s="1"/>
  <c r="AJ23" i="25"/>
  <c r="AJ197" i="25"/>
  <c r="AM197" i="25"/>
  <c r="BT197" i="25" s="1"/>
  <c r="AJ140" i="25"/>
  <c r="AM140" i="25"/>
  <c r="BT140" i="25" s="1"/>
  <c r="AM154" i="25"/>
  <c r="BT154" i="25" s="1"/>
  <c r="AJ154" i="25"/>
  <c r="AJ281" i="25"/>
  <c r="AM281" i="25"/>
  <c r="CB281" i="25" s="1"/>
  <c r="AM187" i="25"/>
  <c r="BT187" i="25" s="1"/>
  <c r="AJ187" i="25"/>
  <c r="AJ247" i="25"/>
  <c r="AM247" i="25"/>
  <c r="CB247" i="25" s="1"/>
  <c r="AS95" i="25"/>
  <c r="AX95" i="25" s="1"/>
  <c r="AJ169" i="25"/>
  <c r="AM169" i="25"/>
  <c r="BT169" i="25" s="1"/>
  <c r="AM137" i="25"/>
  <c r="BT137" i="25" s="1"/>
  <c r="AJ137" i="25"/>
  <c r="AS99" i="25"/>
  <c r="AX99" i="25" s="1"/>
  <c r="AM60" i="25"/>
  <c r="BT60" i="25" s="1"/>
  <c r="AJ60" i="25"/>
  <c r="AJ220" i="25"/>
  <c r="AM220" i="25"/>
  <c r="AM96" i="25"/>
  <c r="CB96" i="25" s="1"/>
  <c r="AJ96" i="25"/>
  <c r="AJ246" i="25"/>
  <c r="AM246" i="25"/>
  <c r="CB246" i="25" s="1"/>
  <c r="AM54" i="25"/>
  <c r="CB54" i="25" s="1"/>
  <c r="AJ54" i="25"/>
  <c r="AJ83" i="25"/>
  <c r="AM83" i="25"/>
  <c r="CB83" i="25" s="1"/>
  <c r="AJ307" i="25"/>
  <c r="AM307" i="25"/>
  <c r="CB307" i="25" s="1"/>
  <c r="AJ236" i="25"/>
  <c r="AM236" i="25"/>
  <c r="AM192" i="25"/>
  <c r="BT192" i="25" s="1"/>
  <c r="AJ192" i="25"/>
  <c r="AJ305" i="25"/>
  <c r="AM305" i="25"/>
  <c r="CB305" i="25" s="1"/>
  <c r="AM203" i="25"/>
  <c r="BT203" i="25" s="1"/>
  <c r="AJ203" i="25"/>
  <c r="AJ284" i="25"/>
  <c r="AM284" i="25"/>
  <c r="CB284" i="25" s="1"/>
  <c r="AJ256" i="25"/>
  <c r="AM256" i="25"/>
  <c r="CB256" i="25" s="1"/>
  <c r="AJ125" i="25"/>
  <c r="AM125" i="25"/>
  <c r="BT125" i="25" s="1"/>
  <c r="AJ21" i="25"/>
  <c r="AM21" i="25"/>
  <c r="CB21" i="25" s="1"/>
  <c r="AJ306" i="25"/>
  <c r="AM306" i="25"/>
  <c r="CB306" i="25" s="1"/>
  <c r="AJ40" i="25"/>
  <c r="AM40" i="25"/>
  <c r="BT40" i="25" s="1"/>
  <c r="AM283" i="25"/>
  <c r="CB283" i="25" s="1"/>
  <c r="AJ283" i="25"/>
  <c r="AS74" i="25"/>
  <c r="AX74" i="25" s="1"/>
  <c r="AJ167" i="25"/>
  <c r="AM167" i="25"/>
  <c r="BT167" i="25" s="1"/>
  <c r="AM86" i="25"/>
  <c r="CB86" i="25" s="1"/>
  <c r="AJ86" i="25"/>
  <c r="AJ316" i="25"/>
  <c r="AM316" i="25"/>
  <c r="AM8" i="25"/>
  <c r="BT8" i="25" s="1"/>
  <c r="AJ8" i="25"/>
  <c r="AM201" i="25"/>
  <c r="BT201" i="25" s="1"/>
  <c r="AJ201" i="25"/>
  <c r="AJ235" i="25"/>
  <c r="AM235" i="25"/>
  <c r="AM118" i="25"/>
  <c r="BT118" i="25" s="1"/>
  <c r="AJ118" i="25"/>
  <c r="AM207" i="25"/>
  <c r="BT207" i="25" s="1"/>
  <c r="AJ207" i="25"/>
  <c r="AJ226" i="25"/>
  <c r="AM226" i="25"/>
  <c r="AJ48" i="25"/>
  <c r="AM48" i="25"/>
  <c r="CB48" i="25" s="1"/>
  <c r="AJ209" i="25"/>
  <c r="AM209" i="25"/>
  <c r="BT209" i="25" s="1"/>
  <c r="AJ243" i="25"/>
  <c r="AM243" i="25"/>
  <c r="AM230" i="25"/>
  <c r="CB230" i="25" s="1"/>
  <c r="AJ230" i="25"/>
  <c r="AM88" i="25"/>
  <c r="BT88" i="25" s="1"/>
  <c r="AJ88" i="25"/>
  <c r="AM199" i="25"/>
  <c r="BT199" i="25" s="1"/>
  <c r="AJ199" i="25"/>
  <c r="AM30" i="25"/>
  <c r="BT30" i="25" s="1"/>
  <c r="AJ30" i="25"/>
  <c r="AJ248" i="25"/>
  <c r="AM248" i="25"/>
  <c r="AM68" i="25"/>
  <c r="BT68" i="25" s="1"/>
  <c r="AJ68" i="25"/>
  <c r="AM82" i="25"/>
  <c r="CB82" i="25" s="1"/>
  <c r="AJ82" i="25"/>
  <c r="AM73" i="25"/>
  <c r="CB73" i="25" s="1"/>
  <c r="AJ73" i="25"/>
  <c r="AM190" i="25"/>
  <c r="BT190" i="25" s="1"/>
  <c r="AJ190" i="25"/>
  <c r="AJ238" i="25"/>
  <c r="AM238" i="25"/>
  <c r="CB238" i="25" s="1"/>
  <c r="AJ172" i="25"/>
  <c r="AM172" i="25"/>
  <c r="BT172" i="25" s="1"/>
  <c r="AM298" i="25"/>
  <c r="CB298" i="25" s="1"/>
  <c r="AJ298" i="25"/>
  <c r="AJ163" i="25"/>
  <c r="AM163" i="25"/>
  <c r="BT163" i="25" s="1"/>
  <c r="AM255" i="25"/>
  <c r="CB255" i="25" s="1"/>
  <c r="AJ255" i="25"/>
  <c r="AM134" i="25"/>
  <c r="BT134" i="25" s="1"/>
  <c r="AJ134" i="25"/>
  <c r="AJ299" i="25"/>
  <c r="AM299" i="25"/>
  <c r="CB299" i="25" s="1"/>
  <c r="AJ175" i="25"/>
  <c r="AM175" i="25"/>
  <c r="BT175" i="25" s="1"/>
  <c r="AM225" i="25"/>
  <c r="AJ225" i="25"/>
  <c r="AM237" i="25"/>
  <c r="AJ237" i="25"/>
  <c r="AJ205" i="25"/>
  <c r="AM205" i="25"/>
  <c r="BT205" i="25" s="1"/>
  <c r="AM147" i="25"/>
  <c r="BT147" i="25" s="1"/>
  <c r="AJ147" i="25"/>
  <c r="AS55" i="25"/>
  <c r="AX55" i="25" s="1"/>
  <c r="AS32" i="25"/>
  <c r="AX32" i="25" s="1"/>
  <c r="AJ262" i="25"/>
  <c r="AM262" i="25"/>
  <c r="AS7" i="25"/>
  <c r="AX7" i="25" s="1"/>
  <c r="AM146" i="25"/>
  <c r="BT146" i="25" s="1"/>
  <c r="AJ146" i="25"/>
  <c r="AM77" i="25"/>
  <c r="BF77" i="25" s="1"/>
  <c r="AJ77" i="25"/>
  <c r="AM63" i="25"/>
  <c r="BT63" i="25" s="1"/>
  <c r="AJ63" i="25"/>
  <c r="AJ27" i="25"/>
  <c r="AM27" i="25"/>
  <c r="BT27" i="25" s="1"/>
  <c r="AJ80" i="25"/>
  <c r="AM80" i="25"/>
  <c r="BT80" i="25" s="1"/>
  <c r="AM301" i="25"/>
  <c r="CB301" i="25" s="1"/>
  <c r="AJ301" i="25"/>
  <c r="AJ231" i="25"/>
  <c r="AM231" i="25"/>
  <c r="AM50" i="25"/>
  <c r="BT50" i="25" s="1"/>
  <c r="AJ50" i="25"/>
  <c r="AJ304" i="25"/>
  <c r="AM304" i="25"/>
  <c r="CB304" i="25" s="1"/>
  <c r="AM33" i="25"/>
  <c r="BT33" i="25" s="1"/>
  <c r="AJ33" i="25"/>
  <c r="AM124" i="25"/>
  <c r="BT124" i="25" s="1"/>
  <c r="AJ124" i="25"/>
  <c r="AM300" i="25"/>
  <c r="CB300" i="25" s="1"/>
  <c r="AJ300" i="25"/>
  <c r="AM232" i="25"/>
  <c r="AJ232" i="25"/>
  <c r="AM123" i="25"/>
  <c r="BT123" i="25" s="1"/>
  <c r="AJ123" i="25"/>
  <c r="AJ164" i="25"/>
  <c r="AM164" i="25"/>
  <c r="BT164" i="25" s="1"/>
  <c r="AM219" i="25"/>
  <c r="AJ219" i="25"/>
  <c r="AJ91" i="25"/>
  <c r="AM91" i="25"/>
  <c r="BT91" i="25" s="1"/>
  <c r="AJ312" i="25"/>
  <c r="AM312" i="25"/>
  <c r="CB312" i="25" s="1"/>
  <c r="AJ193" i="25"/>
  <c r="AM193" i="25"/>
  <c r="BT193" i="25" s="1"/>
  <c r="AS85" i="25"/>
  <c r="AX85" i="25" s="1"/>
  <c r="AS77" i="25"/>
  <c r="AX77" i="25" s="1"/>
  <c r="AJ206" i="25"/>
  <c r="AM206" i="25"/>
  <c r="BT206" i="25" s="1"/>
  <c r="AM294" i="25"/>
  <c r="CB294" i="25" s="1"/>
  <c r="AJ294" i="25"/>
  <c r="AM292" i="25"/>
  <c r="CB292" i="25" s="1"/>
  <c r="AJ292" i="25"/>
  <c r="AM42" i="25"/>
  <c r="CB42" i="25" s="1"/>
  <c r="AJ42" i="25"/>
  <c r="AJ44" i="25"/>
  <c r="AM44" i="25"/>
  <c r="CB44" i="25" s="1"/>
  <c r="AM94" i="25"/>
  <c r="CB94" i="25" s="1"/>
  <c r="AJ94" i="25"/>
  <c r="AM315" i="25"/>
  <c r="AJ315" i="25"/>
  <c r="AJ111" i="25"/>
  <c r="AM111" i="25"/>
  <c r="BT111" i="25" s="1"/>
  <c r="AM204" i="25"/>
  <c r="BT204" i="25" s="1"/>
  <c r="AJ204" i="25"/>
  <c r="AJ132" i="25"/>
  <c r="AM132" i="25"/>
  <c r="BT132" i="25" s="1"/>
  <c r="AK74" i="24"/>
  <c r="AK83" i="24"/>
  <c r="AT10" i="24"/>
  <c r="BA10" i="24" s="1"/>
  <c r="AT36" i="24"/>
  <c r="BA36" i="24" s="1"/>
  <c r="AT78" i="24"/>
  <c r="BA78" i="24" s="1"/>
  <c r="AT95" i="24"/>
  <c r="BA95" i="24" s="1"/>
  <c r="AT104" i="24"/>
  <c r="BA104" i="24" s="1"/>
  <c r="AT27" i="24"/>
  <c r="BA27" i="24" s="1"/>
  <c r="AK292" i="24"/>
  <c r="AK315" i="24"/>
  <c r="AK245" i="24"/>
  <c r="AK304" i="24"/>
  <c r="AK180" i="24"/>
  <c r="AN180" i="24"/>
  <c r="AK197" i="24"/>
  <c r="AN197" i="24"/>
  <c r="BH197" i="24" s="1"/>
  <c r="AN175" i="24"/>
  <c r="AK175" i="24"/>
  <c r="AK178" i="24"/>
  <c r="AN178" i="24"/>
  <c r="AK127" i="24"/>
  <c r="AN127" i="24"/>
  <c r="BS127" i="24" s="1"/>
  <c r="AK200" i="24"/>
  <c r="AN200" i="24"/>
  <c r="AK124" i="24"/>
  <c r="AN124" i="24"/>
  <c r="AK138" i="24"/>
  <c r="AN138" i="24"/>
  <c r="AK129" i="24"/>
  <c r="AN129" i="24"/>
  <c r="AN135" i="24"/>
  <c r="AK135" i="24"/>
  <c r="AK173" i="24"/>
  <c r="AN173" i="24"/>
  <c r="AK118" i="24"/>
  <c r="AN118" i="24"/>
  <c r="AN164" i="24"/>
  <c r="AK164" i="24"/>
  <c r="AK121" i="24"/>
  <c r="AN121" i="24"/>
  <c r="BS121" i="24" s="1"/>
  <c r="AK202" i="24"/>
  <c r="AN202" i="24"/>
  <c r="AN300" i="24"/>
  <c r="AN111" i="24"/>
  <c r="AX111" i="24" s="1"/>
  <c r="AK111" i="24"/>
  <c r="AK160" i="24"/>
  <c r="AN160" i="24"/>
  <c r="AN126" i="24"/>
  <c r="AK126" i="24"/>
  <c r="AN140" i="24"/>
  <c r="AK140" i="24"/>
  <c r="AN292" i="24"/>
  <c r="AK316" i="24"/>
  <c r="AK230" i="24"/>
  <c r="AN316" i="24"/>
  <c r="AN245" i="24"/>
  <c r="CB245" i="24" s="1"/>
  <c r="AN315" i="24"/>
  <c r="CB315" i="24" s="1"/>
  <c r="AN222" i="24"/>
  <c r="AK222" i="24"/>
  <c r="AK224" i="24"/>
  <c r="AN224" i="24"/>
  <c r="AN216" i="24"/>
  <c r="AK216" i="24"/>
  <c r="AN247" i="24"/>
  <c r="AK247" i="24"/>
  <c r="AK264" i="24"/>
  <c r="AN264" i="24"/>
  <c r="AK285" i="24"/>
  <c r="AN285" i="24"/>
  <c r="CB285" i="24" s="1"/>
  <c r="AK221" i="24"/>
  <c r="AN221" i="24"/>
  <c r="AK250" i="24"/>
  <c r="AN250" i="24"/>
  <c r="CB250" i="24" s="1"/>
  <c r="AK307" i="24"/>
  <c r="AN307" i="24"/>
  <c r="CB307" i="24" s="1"/>
  <c r="AK235" i="24"/>
  <c r="AN235" i="24"/>
  <c r="AN223" i="24"/>
  <c r="AK223" i="24"/>
  <c r="AN302" i="24"/>
  <c r="CB302" i="24" s="1"/>
  <c r="AK302" i="24"/>
  <c r="AK266" i="24"/>
  <c r="AN266" i="24"/>
  <c r="AN274" i="24"/>
  <c r="AK274" i="24"/>
  <c r="AK275" i="24"/>
  <c r="AN275" i="24"/>
  <c r="CB275" i="24" s="1"/>
  <c r="AN297" i="24"/>
  <c r="AK297" i="24"/>
  <c r="AN279" i="24"/>
  <c r="CB279" i="24" s="1"/>
  <c r="AK279" i="24"/>
  <c r="AN259" i="24"/>
  <c r="AK259" i="24"/>
  <c r="AK236" i="24"/>
  <c r="AN236" i="24"/>
  <c r="CB236" i="24" s="1"/>
  <c r="AN288" i="24"/>
  <c r="AK288" i="24"/>
  <c r="AK256" i="24"/>
  <c r="AN256" i="24"/>
  <c r="CB256" i="24" s="1"/>
  <c r="AK258" i="24"/>
  <c r="AN258" i="24"/>
  <c r="AK233" i="24"/>
  <c r="AN233" i="24"/>
  <c r="CB233" i="24" s="1"/>
  <c r="AN314" i="24"/>
  <c r="CB314" i="24" s="1"/>
  <c r="AK273" i="24"/>
  <c r="AN273" i="24"/>
  <c r="CB273" i="24" s="1"/>
  <c r="AN243" i="24"/>
  <c r="AK243" i="24"/>
  <c r="AN220" i="24"/>
  <c r="AK220" i="24"/>
  <c r="AN228" i="24"/>
  <c r="AK228" i="24"/>
  <c r="AK229" i="24"/>
  <c r="AN229" i="24"/>
  <c r="AK310" i="24"/>
  <c r="AN310" i="24"/>
  <c r="AN287" i="24"/>
  <c r="CB287" i="24" s="1"/>
  <c r="AK287" i="24"/>
  <c r="AN218" i="24"/>
  <c r="AK218" i="24"/>
  <c r="AK294" i="24"/>
  <c r="AN294" i="24"/>
  <c r="CB294" i="24" s="1"/>
  <c r="AK271" i="24"/>
  <c r="AN271" i="24"/>
  <c r="AK227" i="24"/>
  <c r="AN227" i="24"/>
  <c r="CB227" i="24" s="1"/>
  <c r="AN251" i="24"/>
  <c r="CB251" i="24" s="1"/>
  <c r="AK251" i="24"/>
  <c r="AN293" i="24"/>
  <c r="CB293" i="24" s="1"/>
  <c r="AK293" i="24"/>
  <c r="AK241" i="24"/>
  <c r="AN241" i="24"/>
  <c r="AK219" i="24"/>
  <c r="AN219" i="24"/>
  <c r="CB219" i="24" s="1"/>
  <c r="AK234" i="24"/>
  <c r="AN234" i="24"/>
  <c r="AK254" i="24"/>
  <c r="AN254" i="24"/>
  <c r="AN286" i="24"/>
  <c r="AK286" i="24"/>
  <c r="AK300" i="24"/>
  <c r="AK309" i="24"/>
  <c r="AN309" i="24"/>
  <c r="CB309" i="24" s="1"/>
  <c r="AK303" i="24"/>
  <c r="AN303" i="24"/>
  <c r="CB303" i="24" s="1"/>
  <c r="AN301" i="24"/>
  <c r="AK301" i="24"/>
  <c r="AN268" i="24"/>
  <c r="CB268" i="24" s="1"/>
  <c r="AK268" i="24"/>
  <c r="AK239" i="24"/>
  <c r="AN239" i="24"/>
  <c r="AK240" i="24"/>
  <c r="AN240" i="24"/>
  <c r="CB240" i="24" s="1"/>
  <c r="AN304" i="24"/>
  <c r="CB304" i="24" s="1"/>
  <c r="AK314" i="24"/>
  <c r="AN272" i="24"/>
  <c r="AK272" i="24"/>
  <c r="AN230" i="24"/>
  <c r="CB230" i="24" s="1"/>
  <c r="BQ106" i="19"/>
  <c r="AX181" i="25" l="1"/>
  <c r="AX191" i="25"/>
  <c r="BT133" i="25"/>
  <c r="CB133" i="25"/>
  <c r="AW114" i="25"/>
  <c r="AX184" i="25"/>
  <c r="AW127" i="25"/>
  <c r="AX135" i="25"/>
  <c r="AX146" i="25"/>
  <c r="AW118" i="25"/>
  <c r="BS89" i="25"/>
  <c r="CB89" i="25"/>
  <c r="AW160" i="25"/>
  <c r="AW134" i="25"/>
  <c r="AW138" i="25"/>
  <c r="AW172" i="25"/>
  <c r="AX112" i="25"/>
  <c r="AW143" i="25"/>
  <c r="AW115" i="25"/>
  <c r="AW145" i="25"/>
  <c r="AW186" i="25"/>
  <c r="BT135" i="25"/>
  <c r="CB135" i="25"/>
  <c r="AX164" i="25"/>
  <c r="AW116" i="25"/>
  <c r="AX190" i="25"/>
  <c r="AW157" i="25"/>
  <c r="AX168" i="25"/>
  <c r="AW177" i="25"/>
  <c r="AX129" i="25"/>
  <c r="AX179" i="25"/>
  <c r="AW165" i="25"/>
  <c r="AW173" i="25"/>
  <c r="AX207" i="25"/>
  <c r="AW167" i="25"/>
  <c r="AW155" i="25"/>
  <c r="AW141" i="25"/>
  <c r="AX148" i="25"/>
  <c r="AX205" i="25"/>
  <c r="AX178" i="25"/>
  <c r="AX208" i="25"/>
  <c r="AW110" i="25"/>
  <c r="AW147" i="25"/>
  <c r="AW111" i="25"/>
  <c r="AW152" i="25"/>
  <c r="AX121" i="25"/>
  <c r="AW192" i="25"/>
  <c r="AX153" i="25"/>
  <c r="AW174" i="25"/>
  <c r="AW188" i="25"/>
  <c r="AX166" i="25"/>
  <c r="AX131" i="25"/>
  <c r="AW203" i="25"/>
  <c r="AX201" i="25"/>
  <c r="AW113" i="25"/>
  <c r="AX185" i="25"/>
  <c r="BT100" i="25"/>
  <c r="AW139" i="25"/>
  <c r="AW196" i="25"/>
  <c r="AX123" i="25"/>
  <c r="BT79" i="25"/>
  <c r="BT34" i="25"/>
  <c r="BT64" i="25"/>
  <c r="BT104" i="25"/>
  <c r="BT20" i="25"/>
  <c r="AX206" i="25"/>
  <c r="AW209" i="25"/>
  <c r="AX198" i="25"/>
  <c r="BT51" i="25"/>
  <c r="BT7" i="25"/>
  <c r="AW204" i="25"/>
  <c r="AX120" i="25"/>
  <c r="AW194" i="25"/>
  <c r="BT48" i="25"/>
  <c r="AW133" i="25"/>
  <c r="AW158" i="25"/>
  <c r="AW140" i="25"/>
  <c r="AW117" i="25"/>
  <c r="AW193" i="25"/>
  <c r="AW142" i="25"/>
  <c r="AW171" i="25"/>
  <c r="AW136" i="25"/>
  <c r="AW187" i="25"/>
  <c r="AX156" i="25"/>
  <c r="AX169" i="25"/>
  <c r="AX163" i="25"/>
  <c r="BT70" i="25"/>
  <c r="BT83" i="25"/>
  <c r="BT105" i="25"/>
  <c r="BT87" i="25"/>
  <c r="AW151" i="25"/>
  <c r="BT53" i="25"/>
  <c r="AW175" i="25"/>
  <c r="AW150" i="25"/>
  <c r="BT94" i="25"/>
  <c r="BT96" i="25"/>
  <c r="BT54" i="25"/>
  <c r="BT26" i="25"/>
  <c r="BT67" i="25"/>
  <c r="BT10" i="25"/>
  <c r="BT14" i="25"/>
  <c r="BT17" i="25"/>
  <c r="BT57" i="25"/>
  <c r="AW159" i="25"/>
  <c r="AW119" i="25"/>
  <c r="AW200" i="25"/>
  <c r="AW180" i="25"/>
  <c r="AW154" i="25"/>
  <c r="AW182" i="25"/>
  <c r="AW183" i="25"/>
  <c r="AW130" i="25"/>
  <c r="AW199" i="25"/>
  <c r="AW125" i="25"/>
  <c r="AW197" i="25"/>
  <c r="AW195" i="25"/>
  <c r="AW176" i="25"/>
  <c r="AW126" i="25"/>
  <c r="AW189" i="25"/>
  <c r="AW170" i="25"/>
  <c r="AW122" i="25"/>
  <c r="AW210" i="25"/>
  <c r="AW162" i="25"/>
  <c r="AW128" i="25"/>
  <c r="AW149" i="25"/>
  <c r="AW161" i="25"/>
  <c r="AW132" i="25"/>
  <c r="AW124" i="25"/>
  <c r="AW137" i="25"/>
  <c r="BT101" i="25"/>
  <c r="BT21" i="25"/>
  <c r="BT92" i="25"/>
  <c r="BT49" i="25"/>
  <c r="BT45" i="25"/>
  <c r="BT93" i="25"/>
  <c r="BT19" i="25"/>
  <c r="BT85" i="25"/>
  <c r="BT103" i="25"/>
  <c r="BT102" i="25"/>
  <c r="BT38" i="25"/>
  <c r="BT77" i="25"/>
  <c r="BT61" i="25"/>
  <c r="BT47" i="25"/>
  <c r="BT29" i="25"/>
  <c r="BT89" i="25"/>
  <c r="BT37" i="25"/>
  <c r="BT78" i="25"/>
  <c r="BT42" i="25"/>
  <c r="BT76" i="25"/>
  <c r="BT6" i="25"/>
  <c r="BT18" i="25"/>
  <c r="BT99" i="25"/>
  <c r="BT86" i="25"/>
  <c r="BT44" i="25"/>
  <c r="BT97" i="25"/>
  <c r="BT12" i="25"/>
  <c r="BT81" i="25"/>
  <c r="BT173" i="25"/>
  <c r="BT73" i="25"/>
  <c r="BT36" i="25"/>
  <c r="BT16" i="25"/>
  <c r="BT23" i="25"/>
  <c r="BT69" i="25"/>
  <c r="BT59" i="25"/>
  <c r="BT82" i="25"/>
  <c r="BT66" i="25"/>
  <c r="BT151" i="24"/>
  <c r="CB206" i="25"/>
  <c r="BF206" i="25"/>
  <c r="BS206" i="25"/>
  <c r="BG206" i="25"/>
  <c r="BH206" i="25"/>
  <c r="CB193" i="25"/>
  <c r="BG193" i="25"/>
  <c r="BH193" i="25"/>
  <c r="BF193" i="25"/>
  <c r="BS193" i="25"/>
  <c r="CB164" i="25"/>
  <c r="BH164" i="25"/>
  <c r="BG164" i="25"/>
  <c r="BS164" i="25"/>
  <c r="BF164" i="25"/>
  <c r="CB147" i="25"/>
  <c r="BF147" i="25"/>
  <c r="BG147" i="25"/>
  <c r="BS147" i="25"/>
  <c r="BH147" i="25"/>
  <c r="CB134" i="25"/>
  <c r="BG134" i="25"/>
  <c r="BS134" i="25"/>
  <c r="BH134" i="25"/>
  <c r="BF134" i="25"/>
  <c r="CB190" i="25"/>
  <c r="BF190" i="25"/>
  <c r="BS190" i="25"/>
  <c r="BG190" i="25"/>
  <c r="BH190" i="25"/>
  <c r="CB199" i="25"/>
  <c r="BF199" i="25"/>
  <c r="BG199" i="25"/>
  <c r="BS199" i="25"/>
  <c r="BH199" i="25"/>
  <c r="BF118" i="25"/>
  <c r="BS118" i="25"/>
  <c r="BG118" i="25"/>
  <c r="BH118" i="25"/>
  <c r="CB201" i="25"/>
  <c r="BS201" i="25"/>
  <c r="BF201" i="25"/>
  <c r="BG201" i="25"/>
  <c r="BH201" i="25"/>
  <c r="BG137" i="25"/>
  <c r="BS137" i="25"/>
  <c r="BF137" i="25"/>
  <c r="BH137" i="25"/>
  <c r="CB140" i="25"/>
  <c r="BG140" i="25"/>
  <c r="BS140" i="25"/>
  <c r="BH140" i="25"/>
  <c r="BF140" i="25"/>
  <c r="CB179" i="25"/>
  <c r="BF179" i="25"/>
  <c r="BS179" i="25"/>
  <c r="BG179" i="25"/>
  <c r="BH179" i="25"/>
  <c r="CB195" i="25"/>
  <c r="BH195" i="25"/>
  <c r="BF195" i="25"/>
  <c r="BG195" i="25"/>
  <c r="BS195" i="25"/>
  <c r="CB142" i="25"/>
  <c r="BF142" i="25"/>
  <c r="BS142" i="25"/>
  <c r="BG142" i="25"/>
  <c r="BH142" i="25"/>
  <c r="CB181" i="25"/>
  <c r="BG181" i="25"/>
  <c r="BS181" i="25"/>
  <c r="BH181" i="25"/>
  <c r="BF181" i="25"/>
  <c r="BF120" i="25"/>
  <c r="BH120" i="25"/>
  <c r="BG120" i="25"/>
  <c r="BS120" i="25"/>
  <c r="CB176" i="25"/>
  <c r="BG176" i="25"/>
  <c r="BH176" i="25"/>
  <c r="BF176" i="25"/>
  <c r="BS176" i="25"/>
  <c r="CB188" i="25"/>
  <c r="BF188" i="25"/>
  <c r="BH188" i="25"/>
  <c r="BG188" i="25"/>
  <c r="BS188" i="25"/>
  <c r="BF114" i="25"/>
  <c r="BS114" i="25"/>
  <c r="BH114" i="25"/>
  <c r="BG114" i="25"/>
  <c r="CB129" i="25"/>
  <c r="BH129" i="25"/>
  <c r="BG129" i="25"/>
  <c r="BS129" i="25"/>
  <c r="BF129" i="25"/>
  <c r="CB200" i="25"/>
  <c r="BF200" i="25"/>
  <c r="BH200" i="25"/>
  <c r="BG200" i="25"/>
  <c r="BS200" i="25"/>
  <c r="CB166" i="25"/>
  <c r="BH166" i="25"/>
  <c r="BS166" i="25"/>
  <c r="BF166" i="25"/>
  <c r="BG166" i="25"/>
  <c r="CB196" i="25"/>
  <c r="BH196" i="25"/>
  <c r="BF196" i="25"/>
  <c r="BG196" i="25"/>
  <c r="BS196" i="25"/>
  <c r="CB170" i="25"/>
  <c r="BG170" i="25"/>
  <c r="BS170" i="25"/>
  <c r="BH170" i="25"/>
  <c r="BF170" i="25"/>
  <c r="BG131" i="25"/>
  <c r="BH131" i="25"/>
  <c r="BF131" i="25"/>
  <c r="BS131" i="25"/>
  <c r="CB139" i="25"/>
  <c r="BS139" i="25"/>
  <c r="BF139" i="25"/>
  <c r="BG139" i="25"/>
  <c r="BH139" i="25"/>
  <c r="CB180" i="25"/>
  <c r="BG180" i="25"/>
  <c r="BH180" i="25"/>
  <c r="BS180" i="25"/>
  <c r="BF180" i="25"/>
  <c r="BH113" i="25"/>
  <c r="BG113" i="25"/>
  <c r="BS113" i="25"/>
  <c r="BF113" i="25"/>
  <c r="CB116" i="25"/>
  <c r="BH116" i="25"/>
  <c r="BF116" i="25"/>
  <c r="BS116" i="25"/>
  <c r="BG116" i="25"/>
  <c r="CB156" i="25"/>
  <c r="BH156" i="25"/>
  <c r="BG156" i="25"/>
  <c r="BS156" i="25"/>
  <c r="BF156" i="25"/>
  <c r="CB204" i="25"/>
  <c r="BF204" i="25"/>
  <c r="BG204" i="25"/>
  <c r="BS204" i="25"/>
  <c r="BH204" i="25"/>
  <c r="BG124" i="25"/>
  <c r="BS124" i="25"/>
  <c r="BH124" i="25"/>
  <c r="BF124" i="25"/>
  <c r="CB146" i="25"/>
  <c r="BF146" i="25"/>
  <c r="BG146" i="25"/>
  <c r="BH146" i="25"/>
  <c r="BS146" i="25"/>
  <c r="CB205" i="25"/>
  <c r="BF205" i="25"/>
  <c r="BG205" i="25"/>
  <c r="BS205" i="25"/>
  <c r="BH205" i="25"/>
  <c r="CB203" i="25"/>
  <c r="BF203" i="25"/>
  <c r="BS203" i="25"/>
  <c r="BG203" i="25"/>
  <c r="BH203" i="25"/>
  <c r="CB192" i="25"/>
  <c r="BF192" i="25"/>
  <c r="BG192" i="25"/>
  <c r="BS192" i="25"/>
  <c r="BH192" i="25"/>
  <c r="CB169" i="25"/>
  <c r="BG169" i="25"/>
  <c r="BH169" i="25"/>
  <c r="BF169" i="25"/>
  <c r="BS169" i="25"/>
  <c r="CB130" i="25"/>
  <c r="BF130" i="25"/>
  <c r="BG130" i="25"/>
  <c r="BS130" i="25"/>
  <c r="BH130" i="25"/>
  <c r="CB185" i="25"/>
  <c r="BH185" i="25"/>
  <c r="BF185" i="25"/>
  <c r="BG185" i="25"/>
  <c r="BS185" i="25"/>
  <c r="CB198" i="25"/>
  <c r="BF198" i="25"/>
  <c r="BG198" i="25"/>
  <c r="BS198" i="25"/>
  <c r="BH198" i="25"/>
  <c r="CB168" i="25"/>
  <c r="BF168" i="25"/>
  <c r="BG168" i="25"/>
  <c r="BH168" i="25"/>
  <c r="BS168" i="25"/>
  <c r="CB115" i="25"/>
  <c r="BF115" i="25"/>
  <c r="BG115" i="25"/>
  <c r="BS115" i="25"/>
  <c r="BH115" i="25"/>
  <c r="BF117" i="25"/>
  <c r="BG117" i="25"/>
  <c r="BH117" i="25"/>
  <c r="BS117" i="25"/>
  <c r="CB208" i="25"/>
  <c r="BG208" i="25"/>
  <c r="BF208" i="25"/>
  <c r="BH208" i="25"/>
  <c r="BS208" i="25"/>
  <c r="CB128" i="25"/>
  <c r="BH128" i="25"/>
  <c r="BF128" i="25"/>
  <c r="BS128" i="25"/>
  <c r="BG128" i="25"/>
  <c r="CB150" i="25"/>
  <c r="BG150" i="25"/>
  <c r="BH150" i="25"/>
  <c r="BS150" i="25"/>
  <c r="BF150" i="25"/>
  <c r="CB151" i="25"/>
  <c r="BF151" i="25"/>
  <c r="BS151" i="25"/>
  <c r="BG151" i="25"/>
  <c r="BH151" i="25"/>
  <c r="CB184" i="25"/>
  <c r="BH184" i="25"/>
  <c r="BS184" i="25"/>
  <c r="BG184" i="25"/>
  <c r="BF184" i="25"/>
  <c r="CB186" i="25"/>
  <c r="BH186" i="25"/>
  <c r="BS186" i="25"/>
  <c r="BF186" i="25"/>
  <c r="BG186" i="25"/>
  <c r="CB194" i="25"/>
  <c r="BH194" i="25"/>
  <c r="BS194" i="25"/>
  <c r="BF194" i="25"/>
  <c r="BG194" i="25"/>
  <c r="CB210" i="25"/>
  <c r="BF210" i="25"/>
  <c r="BS210" i="25"/>
  <c r="BG210" i="25"/>
  <c r="BH210" i="25"/>
  <c r="CB157" i="25"/>
  <c r="BF157" i="25"/>
  <c r="BG157" i="25"/>
  <c r="BH157" i="25"/>
  <c r="BS157" i="25"/>
  <c r="CB174" i="25"/>
  <c r="BF174" i="25"/>
  <c r="BH174" i="25"/>
  <c r="BG174" i="25"/>
  <c r="BS174" i="25"/>
  <c r="CB132" i="25"/>
  <c r="BF132" i="25"/>
  <c r="BG132" i="25"/>
  <c r="BH132" i="25"/>
  <c r="BS132" i="25"/>
  <c r="CB111" i="25"/>
  <c r="BF111" i="25"/>
  <c r="BS111" i="25"/>
  <c r="BG111" i="25"/>
  <c r="BH111" i="25"/>
  <c r="CB207" i="25"/>
  <c r="BF207" i="25"/>
  <c r="BH207" i="25"/>
  <c r="BS207" i="25"/>
  <c r="BG207" i="25"/>
  <c r="CB125" i="25"/>
  <c r="BH125" i="25"/>
  <c r="BG125" i="25"/>
  <c r="BS125" i="25"/>
  <c r="BF125" i="25"/>
  <c r="CB197" i="25"/>
  <c r="BH197" i="25"/>
  <c r="BS197" i="25"/>
  <c r="BG197" i="25"/>
  <c r="BF197" i="25"/>
  <c r="CB183" i="25"/>
  <c r="BG183" i="25"/>
  <c r="BH183" i="25"/>
  <c r="BF183" i="25"/>
  <c r="BS183" i="25"/>
  <c r="CB145" i="25"/>
  <c r="BH145" i="25"/>
  <c r="BF145" i="25"/>
  <c r="BG145" i="25"/>
  <c r="BS145" i="25"/>
  <c r="CB202" i="25"/>
  <c r="BF202" i="25"/>
  <c r="BG202" i="25"/>
  <c r="BS202" i="25"/>
  <c r="BH202" i="25"/>
  <c r="CB148" i="25"/>
  <c r="BH148" i="25"/>
  <c r="BF148" i="25"/>
  <c r="BS148" i="25"/>
  <c r="BG148" i="25"/>
  <c r="CB141" i="25"/>
  <c r="BH141" i="25"/>
  <c r="BF141" i="25"/>
  <c r="BG141" i="25"/>
  <c r="BS141" i="25"/>
  <c r="CB149" i="25"/>
  <c r="BH149" i="25"/>
  <c r="BS149" i="25"/>
  <c r="BF149" i="25"/>
  <c r="BG149" i="25"/>
  <c r="CB126" i="25"/>
  <c r="BF126" i="25"/>
  <c r="BS126" i="25"/>
  <c r="BG126" i="25"/>
  <c r="BH126" i="25"/>
  <c r="CB165" i="25"/>
  <c r="BG165" i="25"/>
  <c r="BS165" i="25"/>
  <c r="BF165" i="25"/>
  <c r="BH165" i="25"/>
  <c r="CB152" i="25"/>
  <c r="BF152" i="25"/>
  <c r="BS152" i="25"/>
  <c r="BG152" i="25"/>
  <c r="BH152" i="25"/>
  <c r="CB158" i="25"/>
  <c r="BH158" i="25"/>
  <c r="BS158" i="25"/>
  <c r="BF158" i="25"/>
  <c r="BG158" i="25"/>
  <c r="CB121" i="25"/>
  <c r="BG121" i="25"/>
  <c r="BH121" i="25"/>
  <c r="BF121" i="25"/>
  <c r="BS121" i="25"/>
  <c r="CB143" i="25"/>
  <c r="BF143" i="25"/>
  <c r="BG143" i="25"/>
  <c r="BS143" i="25"/>
  <c r="BH143" i="25"/>
  <c r="CB136" i="25"/>
  <c r="BG136" i="25"/>
  <c r="BS136" i="25"/>
  <c r="BF136" i="25"/>
  <c r="BH136" i="25"/>
  <c r="CB138" i="25"/>
  <c r="BH138" i="25"/>
  <c r="BF138" i="25"/>
  <c r="BS138" i="25"/>
  <c r="BG138" i="25"/>
  <c r="CB189" i="25"/>
  <c r="BF189" i="25"/>
  <c r="BG189" i="25"/>
  <c r="BS189" i="25"/>
  <c r="BH189" i="25"/>
  <c r="CB123" i="25"/>
  <c r="BS123" i="25"/>
  <c r="BG123" i="25"/>
  <c r="BH123" i="25"/>
  <c r="BF123" i="25"/>
  <c r="CB175" i="25"/>
  <c r="BF175" i="25"/>
  <c r="BS175" i="25"/>
  <c r="BH175" i="25"/>
  <c r="BG175" i="25"/>
  <c r="CB163" i="25"/>
  <c r="BH163" i="25"/>
  <c r="BF163" i="25"/>
  <c r="BS163" i="25"/>
  <c r="BG163" i="25"/>
  <c r="CB172" i="25"/>
  <c r="BF172" i="25"/>
  <c r="BG172" i="25"/>
  <c r="BS172" i="25"/>
  <c r="BH172" i="25"/>
  <c r="CB209" i="25"/>
  <c r="BS209" i="25"/>
  <c r="BG209" i="25"/>
  <c r="BH209" i="25"/>
  <c r="BF209" i="25"/>
  <c r="CB167" i="25"/>
  <c r="BH167" i="25"/>
  <c r="BS167" i="25"/>
  <c r="BG167" i="25"/>
  <c r="BF167" i="25"/>
  <c r="CB187" i="25"/>
  <c r="BH187" i="25"/>
  <c r="BG187" i="25"/>
  <c r="BS187" i="25"/>
  <c r="BF187" i="25"/>
  <c r="CB154" i="25"/>
  <c r="BH154" i="25"/>
  <c r="BG154" i="25"/>
  <c r="BS154" i="25"/>
  <c r="BF154" i="25"/>
  <c r="CB161" i="25"/>
  <c r="BH161" i="25"/>
  <c r="BG161" i="25"/>
  <c r="BS161" i="25"/>
  <c r="BF161" i="25"/>
  <c r="CB119" i="25"/>
  <c r="BG119" i="25"/>
  <c r="BF119" i="25"/>
  <c r="BS119" i="25"/>
  <c r="BH119" i="25"/>
  <c r="CB177" i="25"/>
  <c r="BG177" i="25"/>
  <c r="BS177" i="25"/>
  <c r="BH177" i="25"/>
  <c r="BF177" i="25"/>
  <c r="BF133" i="25"/>
  <c r="BS133" i="25"/>
  <c r="BG133" i="25"/>
  <c r="BH133" i="25"/>
  <c r="CB144" i="25"/>
  <c r="BH144" i="25"/>
  <c r="BG144" i="25"/>
  <c r="BF144" i="25"/>
  <c r="BS144" i="25"/>
  <c r="BH122" i="25"/>
  <c r="BG122" i="25"/>
  <c r="BS122" i="25"/>
  <c r="BF122" i="25"/>
  <c r="CB160" i="25"/>
  <c r="BF160" i="25"/>
  <c r="BS160" i="25"/>
  <c r="BG160" i="25"/>
  <c r="BH160" i="25"/>
  <c r="CB191" i="25"/>
  <c r="BF191" i="25"/>
  <c r="BS191" i="25"/>
  <c r="BG191" i="25"/>
  <c r="BH191" i="25"/>
  <c r="CB171" i="25"/>
  <c r="BF171" i="25"/>
  <c r="BG171" i="25"/>
  <c r="BH171" i="25"/>
  <c r="BS171" i="25"/>
  <c r="BH112" i="25"/>
  <c r="BF112" i="25"/>
  <c r="BG112" i="25"/>
  <c r="BS112" i="25"/>
  <c r="CB182" i="25"/>
  <c r="BG182" i="25"/>
  <c r="BH182" i="25"/>
  <c r="BS182" i="25"/>
  <c r="BF182" i="25"/>
  <c r="CB155" i="25"/>
  <c r="BF155" i="25"/>
  <c r="BG155" i="25"/>
  <c r="BH155" i="25"/>
  <c r="BS155" i="25"/>
  <c r="CB178" i="25"/>
  <c r="BF178" i="25"/>
  <c r="BG178" i="25"/>
  <c r="BS178" i="25"/>
  <c r="BH178" i="25"/>
  <c r="CB153" i="25"/>
  <c r="BH153" i="25"/>
  <c r="BG153" i="25"/>
  <c r="BF153" i="25"/>
  <c r="BS153" i="25"/>
  <c r="BG135" i="25"/>
  <c r="BH135" i="25"/>
  <c r="BS135" i="25"/>
  <c r="BF135" i="25"/>
  <c r="CB159" i="25"/>
  <c r="BG159" i="25"/>
  <c r="BS159" i="25"/>
  <c r="BF159" i="25"/>
  <c r="BH159" i="25"/>
  <c r="BF173" i="25"/>
  <c r="BS173" i="25"/>
  <c r="BG173" i="25"/>
  <c r="BH173" i="25"/>
  <c r="CB127" i="25"/>
  <c r="BF127" i="25"/>
  <c r="BS127" i="25"/>
  <c r="BG127" i="25"/>
  <c r="BH127" i="25"/>
  <c r="BH162" i="25"/>
  <c r="BS162" i="25"/>
  <c r="BG162" i="25"/>
  <c r="BF162" i="25"/>
  <c r="AX154" i="24"/>
  <c r="BH142" i="24"/>
  <c r="BH139" i="24"/>
  <c r="BH121" i="24"/>
  <c r="BH179" i="24"/>
  <c r="AX143" i="24"/>
  <c r="BH171" i="24"/>
  <c r="BH158" i="24"/>
  <c r="BS120" i="24"/>
  <c r="BH185" i="24"/>
  <c r="BT183" i="24"/>
  <c r="AX197" i="24"/>
  <c r="BS154" i="24"/>
  <c r="AX127" i="24"/>
  <c r="BT125" i="24"/>
  <c r="BH145" i="24"/>
  <c r="AX139" i="24"/>
  <c r="AX179" i="24"/>
  <c r="BT145" i="24"/>
  <c r="BT142" i="24"/>
  <c r="BT139" i="24"/>
  <c r="CB164" i="24"/>
  <c r="BI164" i="24"/>
  <c r="BJ164" i="24"/>
  <c r="BH164" i="24"/>
  <c r="AX164" i="24"/>
  <c r="BS164" i="24"/>
  <c r="BT164" i="24"/>
  <c r="BI175" i="24"/>
  <c r="BJ175" i="24"/>
  <c r="BS175" i="24"/>
  <c r="AX175" i="24"/>
  <c r="BT175" i="24"/>
  <c r="BH175" i="24"/>
  <c r="CB201" i="24"/>
  <c r="BI201" i="24"/>
  <c r="BJ201" i="24"/>
  <c r="AT116" i="24"/>
  <c r="BS116" i="24"/>
  <c r="BT116" i="24"/>
  <c r="BH116" i="24"/>
  <c r="AX116" i="24"/>
  <c r="BI113" i="24"/>
  <c r="BJ113" i="24"/>
  <c r="BS113" i="24"/>
  <c r="BT113" i="24"/>
  <c r="AX113" i="24"/>
  <c r="BH113" i="24"/>
  <c r="AT136" i="24"/>
  <c r="CB144" i="24"/>
  <c r="BI144" i="24"/>
  <c r="BJ144" i="24"/>
  <c r="BS144" i="24"/>
  <c r="BH144" i="24"/>
  <c r="BT144" i="24"/>
  <c r="AT148" i="24"/>
  <c r="BS148" i="24"/>
  <c r="BT148" i="24"/>
  <c r="BH148" i="24"/>
  <c r="AX148" i="24"/>
  <c r="AT169" i="24"/>
  <c r="AT181" i="24"/>
  <c r="AT208" i="24"/>
  <c r="CB190" i="24"/>
  <c r="BI190" i="24"/>
  <c r="BJ190" i="24"/>
  <c r="BS190" i="24"/>
  <c r="BT190" i="24"/>
  <c r="AX190" i="24"/>
  <c r="BH190" i="24"/>
  <c r="BI148" i="24"/>
  <c r="BJ148" i="24"/>
  <c r="CB126" i="24"/>
  <c r="BI126" i="24"/>
  <c r="BJ126" i="24"/>
  <c r="BT126" i="24"/>
  <c r="BH126" i="24"/>
  <c r="BS126" i="24"/>
  <c r="AX126" i="24"/>
  <c r="CB111" i="24"/>
  <c r="BI111" i="24"/>
  <c r="BJ111" i="24"/>
  <c r="BJ118" i="24"/>
  <c r="BI118" i="24"/>
  <c r="BT118" i="24"/>
  <c r="AX118" i="24"/>
  <c r="BS118" i="24"/>
  <c r="BH118" i="24"/>
  <c r="AQ200" i="24"/>
  <c r="BI200" i="24"/>
  <c r="BJ200" i="24"/>
  <c r="AX200" i="24"/>
  <c r="BH200" i="24"/>
  <c r="BT200" i="24"/>
  <c r="BS200" i="24"/>
  <c r="CB178" i="24"/>
  <c r="BI178" i="24"/>
  <c r="BJ178" i="24"/>
  <c r="BS178" i="24"/>
  <c r="AX178" i="24"/>
  <c r="BH178" i="24"/>
  <c r="BT178" i="24"/>
  <c r="CB197" i="24"/>
  <c r="BI197" i="24"/>
  <c r="BJ197" i="24"/>
  <c r="BJ116" i="24"/>
  <c r="BI116" i="24"/>
  <c r="AT123" i="24"/>
  <c r="AT122" i="24"/>
  <c r="CB177" i="24"/>
  <c r="BI177" i="24"/>
  <c r="BJ177" i="24"/>
  <c r="BI137" i="24"/>
  <c r="BJ137" i="24"/>
  <c r="BI143" i="24"/>
  <c r="BJ143" i="24"/>
  <c r="BI120" i="24"/>
  <c r="BJ120" i="24"/>
  <c r="BJ153" i="24"/>
  <c r="BI153" i="24"/>
  <c r="CB171" i="24"/>
  <c r="BI171" i="24"/>
  <c r="BJ171" i="24"/>
  <c r="AT172" i="24"/>
  <c r="BT121" i="24"/>
  <c r="BH120" i="24"/>
  <c r="BS177" i="24"/>
  <c r="BH137" i="24"/>
  <c r="BS197" i="24"/>
  <c r="BT127" i="24"/>
  <c r="CB160" i="24"/>
  <c r="BJ160" i="24"/>
  <c r="BI160" i="24"/>
  <c r="BH160" i="24"/>
  <c r="AX160" i="24"/>
  <c r="BT160" i="24"/>
  <c r="BS160" i="24"/>
  <c r="BI135" i="24"/>
  <c r="BJ135" i="24"/>
  <c r="BS135" i="24"/>
  <c r="AX135" i="24"/>
  <c r="BT135" i="24"/>
  <c r="BH135" i="24"/>
  <c r="CB154" i="24"/>
  <c r="BI154" i="24"/>
  <c r="BJ154" i="24"/>
  <c r="AT115" i="24"/>
  <c r="CB125" i="24"/>
  <c r="BI125" i="24"/>
  <c r="BJ125" i="24"/>
  <c r="CB187" i="24"/>
  <c r="BI187" i="24"/>
  <c r="BJ187" i="24"/>
  <c r="CB183" i="24"/>
  <c r="BI183" i="24"/>
  <c r="BJ183" i="24"/>
  <c r="CB179" i="24"/>
  <c r="BI179" i="24"/>
  <c r="BJ179" i="24"/>
  <c r="CB151" i="24"/>
  <c r="BJ151" i="24"/>
  <c r="BI151" i="24"/>
  <c r="CB185" i="24"/>
  <c r="BI185" i="24"/>
  <c r="BJ185" i="24"/>
  <c r="BI158" i="24"/>
  <c r="BJ158" i="24"/>
  <c r="AT157" i="24"/>
  <c r="AT201" i="24"/>
  <c r="BS201" i="24"/>
  <c r="AX201" i="24"/>
  <c r="BT201" i="24"/>
  <c r="BH201" i="24"/>
  <c r="AT153" i="24"/>
  <c r="BS153" i="24"/>
  <c r="BT153" i="24"/>
  <c r="AX153" i="24"/>
  <c r="BH153" i="24"/>
  <c r="AT195" i="24"/>
  <c r="BT171" i="24"/>
  <c r="AX121" i="24"/>
  <c r="AX158" i="24"/>
  <c r="BS158" i="24"/>
  <c r="BT120" i="24"/>
  <c r="BH111" i="24"/>
  <c r="BS111" i="24"/>
  <c r="BS185" i="24"/>
  <c r="AX151" i="24"/>
  <c r="BS151" i="24"/>
  <c r="BH177" i="24"/>
  <c r="BT177" i="24"/>
  <c r="BH183" i="24"/>
  <c r="BS183" i="24"/>
  <c r="AX142" i="24"/>
  <c r="BT137" i="24"/>
  <c r="BS137" i="24"/>
  <c r="BT197" i="24"/>
  <c r="BT179" i="24"/>
  <c r="BT154" i="24"/>
  <c r="BS143" i="24"/>
  <c r="BS125" i="24"/>
  <c r="AX145" i="24"/>
  <c r="CB121" i="24"/>
  <c r="BI121" i="24"/>
  <c r="BJ121" i="24"/>
  <c r="BI138" i="24"/>
  <c r="BJ138" i="24"/>
  <c r="BT138" i="24"/>
  <c r="BS138" i="24"/>
  <c r="BH138" i="24"/>
  <c r="AX138" i="24"/>
  <c r="CB140" i="24"/>
  <c r="BJ140" i="24"/>
  <c r="BI140" i="24"/>
  <c r="BH140" i="24"/>
  <c r="AX140" i="24"/>
  <c r="BS140" i="24"/>
  <c r="BT140" i="24"/>
  <c r="CB202" i="24"/>
  <c r="BI202" i="24"/>
  <c r="BJ202" i="24"/>
  <c r="BS202" i="24"/>
  <c r="AX202" i="24"/>
  <c r="BT202" i="24"/>
  <c r="BH202" i="24"/>
  <c r="CB173" i="24"/>
  <c r="BI173" i="24"/>
  <c r="BJ173" i="24"/>
  <c r="AX173" i="24"/>
  <c r="BT173" i="24"/>
  <c r="BS173" i="24"/>
  <c r="BH173" i="24"/>
  <c r="CB129" i="24"/>
  <c r="BI129" i="24"/>
  <c r="BJ129" i="24"/>
  <c r="BH129" i="24"/>
  <c r="BS129" i="24"/>
  <c r="AX129" i="24"/>
  <c r="BT129" i="24"/>
  <c r="CB124" i="24"/>
  <c r="BJ124" i="24"/>
  <c r="BI124" i="24"/>
  <c r="BT124" i="24"/>
  <c r="BH124" i="24"/>
  <c r="AX124" i="24"/>
  <c r="BS124" i="24"/>
  <c r="CB127" i="24"/>
  <c r="BI127" i="24"/>
  <c r="BJ127" i="24"/>
  <c r="CB180" i="24"/>
  <c r="BJ180" i="24"/>
  <c r="BI180" i="24"/>
  <c r="BT180" i="24"/>
  <c r="AX180" i="24"/>
  <c r="BH180" i="24"/>
  <c r="BS180" i="24"/>
  <c r="BI145" i="24"/>
  <c r="BJ145" i="24"/>
  <c r="CB142" i="24"/>
  <c r="BI142" i="24"/>
  <c r="BJ142" i="24"/>
  <c r="AT112" i="24"/>
  <c r="CB139" i="24"/>
  <c r="BI139" i="24"/>
  <c r="BJ139" i="24"/>
  <c r="AT155" i="24"/>
  <c r="AT210" i="24"/>
  <c r="AT187" i="24"/>
  <c r="BS187" i="24"/>
  <c r="BH187" i="24"/>
  <c r="BT187" i="24"/>
  <c r="AX187" i="24"/>
  <c r="AT207" i="24"/>
  <c r="BS171" i="24"/>
  <c r="BT111" i="24"/>
  <c r="AX185" i="24"/>
  <c r="AX177" i="24"/>
  <c r="AX137" i="24"/>
  <c r="BH127" i="24"/>
  <c r="BH143" i="24"/>
  <c r="AX125" i="24"/>
  <c r="AN165" i="24"/>
  <c r="AQ165" i="24" s="1"/>
  <c r="BT56" i="24"/>
  <c r="BT74" i="24"/>
  <c r="AK152" i="24"/>
  <c r="AV15" i="24"/>
  <c r="AV33" i="24"/>
  <c r="AV41" i="24"/>
  <c r="AV64" i="24"/>
  <c r="AV46" i="24"/>
  <c r="BT46" i="24"/>
  <c r="AV63" i="24"/>
  <c r="BT63" i="24"/>
  <c r="BT89" i="24"/>
  <c r="AV92" i="24"/>
  <c r="BT92" i="24"/>
  <c r="AV79" i="24"/>
  <c r="BT79" i="24"/>
  <c r="AV34" i="24"/>
  <c r="AV11" i="24"/>
  <c r="AV99" i="24"/>
  <c r="AT8" i="24"/>
  <c r="BA8" i="24" s="1"/>
  <c r="AV28" i="24"/>
  <c r="BT28" i="24"/>
  <c r="AV31" i="24"/>
  <c r="BT31" i="24"/>
  <c r="AV18" i="24"/>
  <c r="BT18" i="24"/>
  <c r="AV96" i="24"/>
  <c r="BT96" i="24"/>
  <c r="AV55" i="24"/>
  <c r="BT100" i="24"/>
  <c r="AV49" i="24"/>
  <c r="AV43" i="24"/>
  <c r="AV35" i="24"/>
  <c r="AV29" i="24"/>
  <c r="BT29" i="24"/>
  <c r="AV21" i="24"/>
  <c r="BT21" i="24"/>
  <c r="AV51" i="24"/>
  <c r="AV72" i="24"/>
  <c r="BT72" i="24"/>
  <c r="BT83" i="24"/>
  <c r="AV19" i="24"/>
  <c r="BT19" i="24"/>
  <c r="AT13" i="24"/>
  <c r="BA13" i="24" s="1"/>
  <c r="AV40" i="24"/>
  <c r="BT40" i="24"/>
  <c r="AV59" i="24"/>
  <c r="BT59" i="24"/>
  <c r="AV54" i="24"/>
  <c r="BT54" i="24"/>
  <c r="AV68" i="24"/>
  <c r="BT68" i="24"/>
  <c r="AV82" i="24"/>
  <c r="BT82" i="24"/>
  <c r="AV97" i="24"/>
  <c r="BT32" i="24"/>
  <c r="BT53" i="24"/>
  <c r="AK172" i="24"/>
  <c r="AT79" i="24"/>
  <c r="BA79" i="24" s="1"/>
  <c r="AN152" i="24"/>
  <c r="AK70" i="24"/>
  <c r="AK253" i="24"/>
  <c r="AN278" i="24"/>
  <c r="CB278" i="24" s="1"/>
  <c r="AN305" i="24"/>
  <c r="AQ305" i="24" s="1"/>
  <c r="AN182" i="24"/>
  <c r="AK281" i="24"/>
  <c r="AK313" i="24"/>
  <c r="AN70" i="24"/>
  <c r="AN78" i="24"/>
  <c r="AN193" i="24"/>
  <c r="AQ104" i="24"/>
  <c r="CB104" i="24"/>
  <c r="AK277" i="24"/>
  <c r="BF32" i="25"/>
  <c r="CB32" i="25"/>
  <c r="AX36" i="24"/>
  <c r="CB36" i="24"/>
  <c r="AN237" i="24"/>
  <c r="AS237" i="24" s="1"/>
  <c r="AK246" i="24"/>
  <c r="AK190" i="24"/>
  <c r="CB78" i="24"/>
  <c r="AX42" i="24"/>
  <c r="CB42" i="24"/>
  <c r="AK115" i="24"/>
  <c r="AK137" i="24"/>
  <c r="AN238" i="24"/>
  <c r="AQ238" i="24" s="1"/>
  <c r="AK154" i="24"/>
  <c r="AN260" i="24"/>
  <c r="AQ260" i="24" s="1"/>
  <c r="AK263" i="24"/>
  <c r="AK280" i="24"/>
  <c r="AK207" i="24"/>
  <c r="AK260" i="24"/>
  <c r="AK195" i="24"/>
  <c r="AJ103" i="24"/>
  <c r="AK193" i="24"/>
  <c r="AN128" i="24"/>
  <c r="AN132" i="24"/>
  <c r="AK289" i="24"/>
  <c r="AN191" i="24"/>
  <c r="AK157" i="24"/>
  <c r="AK262" i="24"/>
  <c r="AK132" i="24"/>
  <c r="AN262" i="24"/>
  <c r="AS262" i="24" s="1"/>
  <c r="AK169" i="24"/>
  <c r="AN189" i="24"/>
  <c r="AN311" i="24"/>
  <c r="AQ311" i="24" s="1"/>
  <c r="AK248" i="24"/>
  <c r="AK114" i="24"/>
  <c r="AK270" i="24"/>
  <c r="AK210" i="24"/>
  <c r="AN255" i="24"/>
  <c r="CB255" i="24" s="1"/>
  <c r="AN146" i="24"/>
  <c r="AK312" i="24"/>
  <c r="AN217" i="24"/>
  <c r="CB217" i="24" s="1"/>
  <c r="AK283" i="24"/>
  <c r="AJ81" i="24"/>
  <c r="AJ75" i="24"/>
  <c r="AJ93" i="24"/>
  <c r="AK242" i="24"/>
  <c r="AK196" i="24"/>
  <c r="AN147" i="24"/>
  <c r="AN312" i="24"/>
  <c r="AQ312" i="24" s="1"/>
  <c r="AN291" i="24"/>
  <c r="CB291" i="24" s="1"/>
  <c r="AK249" i="24"/>
  <c r="AN263" i="24"/>
  <c r="AS263" i="24" s="1"/>
  <c r="AN289" i="24"/>
  <c r="AK244" i="24"/>
  <c r="AK261" i="24"/>
  <c r="AK158" i="24"/>
  <c r="AK183" i="24"/>
  <c r="AK191" i="24"/>
  <c r="AK56" i="24"/>
  <c r="AJ98" i="24"/>
  <c r="AN73" i="24"/>
  <c r="BT73" i="24" s="1"/>
  <c r="AK269" i="24"/>
  <c r="AK252" i="24"/>
  <c r="AN170" i="24"/>
  <c r="AX63" i="24"/>
  <c r="AN55" i="24"/>
  <c r="BS55" i="24" s="1"/>
  <c r="AN159" i="24"/>
  <c r="AN25" i="24"/>
  <c r="AK189" i="24"/>
  <c r="AK162" i="24"/>
  <c r="AN295" i="24"/>
  <c r="AQ295" i="24" s="1"/>
  <c r="AK142" i="24"/>
  <c r="AK174" i="24"/>
  <c r="AN33" i="24"/>
  <c r="AX33" i="24" s="1"/>
  <c r="AN167" i="24"/>
  <c r="AN168" i="24"/>
  <c r="AN122" i="24"/>
  <c r="BS122" i="24" s="1"/>
  <c r="AN166" i="24"/>
  <c r="AN242" i="24"/>
  <c r="AQ242" i="24" s="1"/>
  <c r="AK97" i="24"/>
  <c r="AN265" i="24"/>
  <c r="CB265" i="24" s="1"/>
  <c r="AK185" i="24"/>
  <c r="AT97" i="24"/>
  <c r="BA97" i="24" s="1"/>
  <c r="AN269" i="24"/>
  <c r="AS269" i="24" s="1"/>
  <c r="AN226" i="24"/>
  <c r="AQ226" i="24" s="1"/>
  <c r="AK147" i="24"/>
  <c r="AK155" i="24"/>
  <c r="AK92" i="24"/>
  <c r="AT92" i="24"/>
  <c r="BA92" i="24" s="1"/>
  <c r="AK171" i="24"/>
  <c r="AN130" i="24"/>
  <c r="AJ67" i="24"/>
  <c r="AJ84" i="24"/>
  <c r="AJ76" i="24"/>
  <c r="AK166" i="24"/>
  <c r="AX68" i="24"/>
  <c r="AT68" i="24"/>
  <c r="BA68" i="24" s="1"/>
  <c r="AK257" i="24"/>
  <c r="AK267" i="24"/>
  <c r="AJ66" i="24"/>
  <c r="AJ44" i="24"/>
  <c r="AT82" i="24"/>
  <c r="BA82" i="24" s="1"/>
  <c r="AN114" i="24"/>
  <c r="AK290" i="24"/>
  <c r="AN150" i="24"/>
  <c r="AK282" i="24"/>
  <c r="AK299" i="24"/>
  <c r="AN198" i="24"/>
  <c r="AK153" i="24"/>
  <c r="AK120" i="24"/>
  <c r="AN176" i="24"/>
  <c r="AK143" i="24"/>
  <c r="AN308" i="24"/>
  <c r="AQ308" i="24" s="1"/>
  <c r="AN206" i="24"/>
  <c r="AN117" i="24"/>
  <c r="AT59" i="24"/>
  <c r="BA59" i="24" s="1"/>
  <c r="AK139" i="24"/>
  <c r="AK168" i="24"/>
  <c r="AN156" i="24"/>
  <c r="AN204" i="24"/>
  <c r="AK151" i="24"/>
  <c r="AN231" i="24"/>
  <c r="AS231" i="24" s="1"/>
  <c r="BH46" i="24"/>
  <c r="AN232" i="24"/>
  <c r="AQ232" i="24" s="1"/>
  <c r="AN195" i="24"/>
  <c r="BH195" i="24" s="1"/>
  <c r="AK144" i="24"/>
  <c r="AT46" i="24"/>
  <c r="BA46" i="24" s="1"/>
  <c r="AT63" i="24"/>
  <c r="BA63" i="24" s="1"/>
  <c r="AK25" i="24"/>
  <c r="AK51" i="24"/>
  <c r="AK298" i="24"/>
  <c r="AT51" i="24"/>
  <c r="BA51" i="24" s="1"/>
  <c r="AK276" i="24"/>
  <c r="AN296" i="24"/>
  <c r="AS296" i="24" s="1"/>
  <c r="AN306" i="24"/>
  <c r="AK89" i="24"/>
  <c r="AK225" i="24"/>
  <c r="AV88" i="24"/>
  <c r="AT88" i="24"/>
  <c r="BA88" i="24" s="1"/>
  <c r="AN10" i="24"/>
  <c r="AN284" i="24"/>
  <c r="AJ77" i="24"/>
  <c r="AN174" i="24"/>
  <c r="AT40" i="24"/>
  <c r="BA40" i="24" s="1"/>
  <c r="AN225" i="24"/>
  <c r="AQ225" i="24" s="1"/>
  <c r="AN133" i="24"/>
  <c r="AT72" i="24"/>
  <c r="BA72" i="24" s="1"/>
  <c r="AJ71" i="24"/>
  <c r="AT54" i="24"/>
  <c r="BA54" i="24" s="1"/>
  <c r="AV89" i="24"/>
  <c r="AT89" i="24"/>
  <c r="BA89" i="24" s="1"/>
  <c r="AJ80" i="24"/>
  <c r="AJ90" i="24"/>
  <c r="AJ39" i="24"/>
  <c r="AK112" i="24"/>
  <c r="AK113" i="24"/>
  <c r="AJ57" i="24"/>
  <c r="AJ62" i="24"/>
  <c r="AK64" i="24"/>
  <c r="AT64" i="24"/>
  <c r="BA64" i="24" s="1"/>
  <c r="AN162" i="24"/>
  <c r="AN209" i="24"/>
  <c r="AK179" i="24"/>
  <c r="AV61" i="24"/>
  <c r="AT61" i="24"/>
  <c r="BA61" i="24" s="1"/>
  <c r="AJ38" i="24"/>
  <c r="AT43" i="24"/>
  <c r="BA43" i="24" s="1"/>
  <c r="AJ45" i="24"/>
  <c r="AK136" i="24"/>
  <c r="AN188" i="24"/>
  <c r="AJ48" i="24"/>
  <c r="AJ52" i="24"/>
  <c r="AN119" i="24"/>
  <c r="AK145" i="24"/>
  <c r="AK167" i="24"/>
  <c r="BH40" i="24"/>
  <c r="AK41" i="24"/>
  <c r="AN141" i="24"/>
  <c r="AN184" i="24"/>
  <c r="AN95" i="24"/>
  <c r="CB95" i="24" s="1"/>
  <c r="AK46" i="24"/>
  <c r="AT41" i="24"/>
  <c r="BA41" i="24" s="1"/>
  <c r="AN112" i="24"/>
  <c r="AN196" i="24"/>
  <c r="AN208" i="24"/>
  <c r="BT208" i="24" s="1"/>
  <c r="AN101" i="24"/>
  <c r="AK54" i="24"/>
  <c r="AN60" i="24"/>
  <c r="BT60" i="24" s="1"/>
  <c r="AN181" i="24"/>
  <c r="BS181" i="24" s="1"/>
  <c r="AN157" i="24"/>
  <c r="BT157" i="24" s="1"/>
  <c r="AK36" i="24"/>
  <c r="AN23" i="24"/>
  <c r="AN205" i="24"/>
  <c r="AN199" i="24"/>
  <c r="AK96" i="24"/>
  <c r="AN97" i="24"/>
  <c r="CB97" i="24" s="1"/>
  <c r="AN51" i="24"/>
  <c r="BT51" i="24" s="1"/>
  <c r="AN105" i="24"/>
  <c r="AK85" i="24"/>
  <c r="AK100" i="24"/>
  <c r="AK148" i="24"/>
  <c r="AN192" i="24"/>
  <c r="AN186" i="24"/>
  <c r="AT21" i="24"/>
  <c r="BA21" i="24" s="1"/>
  <c r="AN203" i="24"/>
  <c r="AK177" i="24"/>
  <c r="AV13" i="24"/>
  <c r="AN41" i="24"/>
  <c r="BH41" i="24" s="1"/>
  <c r="AN210" i="24"/>
  <c r="AX210" i="24" s="1"/>
  <c r="AK187" i="24"/>
  <c r="AK122" i="24"/>
  <c r="AT31" i="24"/>
  <c r="BA31" i="24" s="1"/>
  <c r="AN14" i="24"/>
  <c r="AN172" i="24"/>
  <c r="BH172" i="24" s="1"/>
  <c r="AN131" i="24"/>
  <c r="AK159" i="24"/>
  <c r="AT18" i="24"/>
  <c r="BA18" i="24" s="1"/>
  <c r="AK82" i="24"/>
  <c r="AX31" i="24"/>
  <c r="AK18" i="24"/>
  <c r="AN115" i="24"/>
  <c r="BT115" i="24" s="1"/>
  <c r="AK40" i="24"/>
  <c r="AK42" i="24"/>
  <c r="AK79" i="24"/>
  <c r="AN149" i="24"/>
  <c r="AK23" i="24"/>
  <c r="AK125" i="24"/>
  <c r="AN161" i="24"/>
  <c r="AN155" i="24"/>
  <c r="BH155" i="24" s="1"/>
  <c r="AN207" i="24"/>
  <c r="BT207" i="24" s="1"/>
  <c r="AN163" i="24"/>
  <c r="AN136" i="24"/>
  <c r="CB136" i="24" s="1"/>
  <c r="AK21" i="24"/>
  <c r="AK72" i="24"/>
  <c r="BH21" i="24"/>
  <c r="CB70" i="24"/>
  <c r="AT33" i="24"/>
  <c r="BA33" i="24" s="1"/>
  <c r="AN27" i="24"/>
  <c r="AX92" i="24"/>
  <c r="CB92" i="24"/>
  <c r="AN64" i="24"/>
  <c r="BH64" i="24" s="1"/>
  <c r="AT19" i="24"/>
  <c r="BA19" i="24" s="1"/>
  <c r="AK29" i="24"/>
  <c r="AK55" i="24"/>
  <c r="AN86" i="24"/>
  <c r="BH19" i="24"/>
  <c r="AN87" i="24"/>
  <c r="AK28" i="24"/>
  <c r="AG65" i="24"/>
  <c r="AN65" i="24" s="1"/>
  <c r="BI65" i="24" s="1"/>
  <c r="AN169" i="24"/>
  <c r="AX169" i="24" s="1"/>
  <c r="AN50" i="24"/>
  <c r="CB50" i="24" s="1"/>
  <c r="AK33" i="24"/>
  <c r="AG71" i="24"/>
  <c r="AK123" i="24"/>
  <c r="AT15" i="24"/>
  <c r="BA15" i="24" s="1"/>
  <c r="AN134" i="24"/>
  <c r="BF90" i="25"/>
  <c r="CB90" i="25"/>
  <c r="AT29" i="24"/>
  <c r="BA29" i="24" s="1"/>
  <c r="AG13" i="24"/>
  <c r="AK13" i="24" s="1"/>
  <c r="AK116" i="24"/>
  <c r="AN194" i="24"/>
  <c r="AV8" i="24"/>
  <c r="BH28" i="24"/>
  <c r="AK201" i="24"/>
  <c r="AN123" i="24"/>
  <c r="BT123" i="24" s="1"/>
  <c r="AK31" i="24"/>
  <c r="AK53" i="24"/>
  <c r="AT28" i="24"/>
  <c r="BA28" i="24" s="1"/>
  <c r="AN91" i="24"/>
  <c r="AK63" i="24"/>
  <c r="AK68" i="24"/>
  <c r="AK59" i="24"/>
  <c r="AF43" i="24"/>
  <c r="AK43" i="24" s="1"/>
  <c r="AK19" i="24"/>
  <c r="AK32" i="24"/>
  <c r="AT49" i="24"/>
  <c r="BA49" i="24" s="1"/>
  <c r="AG49" i="24"/>
  <c r="AK49" i="24" s="1"/>
  <c r="AV37" i="24"/>
  <c r="AT37" i="24"/>
  <c r="BA37" i="24" s="1"/>
  <c r="BS104" i="24"/>
  <c r="AX104" i="24"/>
  <c r="BI104" i="24"/>
  <c r="AN69" i="24"/>
  <c r="AK104" i="24"/>
  <c r="AN43" i="24"/>
  <c r="AX43" i="24" s="1"/>
  <c r="AG102" i="24"/>
  <c r="AJ22" i="24"/>
  <c r="AT34" i="24"/>
  <c r="BA34" i="24" s="1"/>
  <c r="AG48" i="24"/>
  <c r="BH104" i="24"/>
  <c r="AV65" i="24"/>
  <c r="AT65" i="24"/>
  <c r="BA65" i="24" s="1"/>
  <c r="AS104" i="24"/>
  <c r="AU104" i="24" s="1"/>
  <c r="BB104" i="24" s="1"/>
  <c r="AG22" i="24"/>
  <c r="AN22" i="24" s="1"/>
  <c r="AV102" i="24"/>
  <c r="AT102" i="24"/>
  <c r="BA102" i="24" s="1"/>
  <c r="BJ104" i="24"/>
  <c r="AG81" i="24"/>
  <c r="AN81" i="24" s="1"/>
  <c r="CB81" i="24" s="1"/>
  <c r="AG15" i="24"/>
  <c r="AK15" i="24" s="1"/>
  <c r="AG34" i="24"/>
  <c r="AN34" i="24" s="1"/>
  <c r="AX34" i="24" s="1"/>
  <c r="AG93" i="24"/>
  <c r="AJ12" i="24"/>
  <c r="AG37" i="24"/>
  <c r="AF37" i="24"/>
  <c r="AJ20" i="24"/>
  <c r="AF8" i="24"/>
  <c r="AG8" i="24"/>
  <c r="AA94" i="24"/>
  <c r="AB94" i="24" s="1"/>
  <c r="AC94" i="24" s="1"/>
  <c r="AJ94" i="24" s="1"/>
  <c r="AG94" i="24"/>
  <c r="AV6" i="24"/>
  <c r="AT6" i="24"/>
  <c r="BA6" i="24" s="1"/>
  <c r="AT35" i="24"/>
  <c r="BA35" i="24" s="1"/>
  <c r="AT99" i="24"/>
  <c r="BA99" i="24" s="1"/>
  <c r="AJ7" i="24"/>
  <c r="AT11" i="24"/>
  <c r="BA11" i="24" s="1"/>
  <c r="AV58" i="24"/>
  <c r="AT58" i="24"/>
  <c r="BA58" i="24" s="1"/>
  <c r="AF11" i="24"/>
  <c r="AG11" i="24"/>
  <c r="AF57" i="24"/>
  <c r="AG57" i="24"/>
  <c r="AG88" i="24"/>
  <c r="AK88" i="24" s="1"/>
  <c r="AG16" i="24"/>
  <c r="AF16" i="24"/>
  <c r="AF67" i="24"/>
  <c r="AG67" i="24"/>
  <c r="AF39" i="24"/>
  <c r="AG39" i="24"/>
  <c r="AF99" i="24"/>
  <c r="AG99" i="24"/>
  <c r="AF47" i="24"/>
  <c r="AG47" i="24"/>
  <c r="AJ9" i="24"/>
  <c r="AF12" i="24"/>
  <c r="AG12" i="24"/>
  <c r="AF58" i="24"/>
  <c r="AG58" i="24"/>
  <c r="AF76" i="24"/>
  <c r="AG76" i="24"/>
  <c r="AG24" i="24"/>
  <c r="AF24" i="24"/>
  <c r="AF30" i="24"/>
  <c r="AG30" i="24"/>
  <c r="AG61" i="24"/>
  <c r="AF17" i="24"/>
  <c r="AG17" i="24"/>
  <c r="AG77" i="24"/>
  <c r="AF77" i="24"/>
  <c r="AF84" i="24"/>
  <c r="AG84" i="24"/>
  <c r="AF80" i="24"/>
  <c r="AG80" i="24"/>
  <c r="AG75" i="24"/>
  <c r="AF75" i="24"/>
  <c r="AF20" i="24"/>
  <c r="AG20" i="24"/>
  <c r="AA26" i="24"/>
  <c r="AB26" i="24" s="1"/>
  <c r="AC26" i="24" s="1"/>
  <c r="AJ26" i="24" s="1"/>
  <c r="AG26" i="24"/>
  <c r="AG45" i="24"/>
  <c r="AF45" i="24"/>
  <c r="AF52" i="24"/>
  <c r="AG52" i="24"/>
  <c r="AG9" i="24"/>
  <c r="AF9" i="24"/>
  <c r="AG35" i="24"/>
  <c r="AN35" i="24" s="1"/>
  <c r="BH35" i="24" s="1"/>
  <c r="AJ16" i="24"/>
  <c r="AJ17" i="24"/>
  <c r="AG66" i="24"/>
  <c r="AF66" i="24"/>
  <c r="AJ24" i="24"/>
  <c r="AG38" i="24"/>
  <c r="AF38" i="24"/>
  <c r="AJ30" i="24"/>
  <c r="AG103" i="24"/>
  <c r="AF103" i="24"/>
  <c r="AV47" i="24"/>
  <c r="AT47" i="24"/>
  <c r="BA47" i="24" s="1"/>
  <c r="AG90" i="24"/>
  <c r="AF90" i="24"/>
  <c r="AF62" i="24"/>
  <c r="AG62" i="24"/>
  <c r="AG98" i="24"/>
  <c r="AF98" i="24"/>
  <c r="AG44" i="24"/>
  <c r="AF6" i="24"/>
  <c r="AG6" i="24"/>
  <c r="AF7" i="24"/>
  <c r="AG7" i="24"/>
  <c r="AX54" i="24"/>
  <c r="AX72" i="24"/>
  <c r="BS85" i="24"/>
  <c r="AX85" i="24"/>
  <c r="AX82" i="24"/>
  <c r="AX74" i="24"/>
  <c r="AX59" i="24"/>
  <c r="AX96" i="24"/>
  <c r="AX28" i="24"/>
  <c r="AX89" i="24"/>
  <c r="AX79" i="24"/>
  <c r="AX18" i="24"/>
  <c r="AX40" i="24"/>
  <c r="AX19" i="24"/>
  <c r="AX21" i="24"/>
  <c r="AX29" i="24"/>
  <c r="AX46" i="24"/>
  <c r="AU5" i="24"/>
  <c r="BB5" i="24" s="1"/>
  <c r="BS72" i="25"/>
  <c r="CB72" i="25"/>
  <c r="AN110" i="24"/>
  <c r="BS98" i="25"/>
  <c r="CB98" i="25"/>
  <c r="BS58" i="25"/>
  <c r="CB58" i="25"/>
  <c r="BS74" i="25"/>
  <c r="CB74" i="25"/>
  <c r="AW5" i="24"/>
  <c r="AY5" i="24" s="1"/>
  <c r="AZ5" i="24" s="1"/>
  <c r="BF39" i="25"/>
  <c r="CB39" i="25"/>
  <c r="AM110" i="25"/>
  <c r="BT110" i="25" s="1"/>
  <c r="BF84" i="25"/>
  <c r="CB84" i="25"/>
  <c r="BF33" i="25"/>
  <c r="CB33" i="25"/>
  <c r="BS55" i="25"/>
  <c r="CB55" i="25"/>
  <c r="BS75" i="25"/>
  <c r="CB75" i="25"/>
  <c r="BF60" i="25"/>
  <c r="CB60" i="25"/>
  <c r="AS5" i="25"/>
  <c r="AW5" i="25" s="1"/>
  <c r="BF43" i="25"/>
  <c r="CB43" i="25"/>
  <c r="BS53" i="24"/>
  <c r="BH36" i="24"/>
  <c r="BF50" i="25"/>
  <c r="CB50" i="25"/>
  <c r="BS25" i="25"/>
  <c r="CB25" i="25"/>
  <c r="BS65" i="25"/>
  <c r="CB65" i="25"/>
  <c r="AJ5" i="25"/>
  <c r="AM5" i="25"/>
  <c r="BT5" i="25" s="1"/>
  <c r="BF46" i="25"/>
  <c r="CB46" i="25"/>
  <c r="AW40" i="25"/>
  <c r="AW17" i="25"/>
  <c r="L20" i="1"/>
  <c r="AW96" i="25"/>
  <c r="AW28" i="25"/>
  <c r="AW100" i="25"/>
  <c r="AW22" i="25"/>
  <c r="AW54" i="25"/>
  <c r="AW61" i="25"/>
  <c r="AW91" i="25"/>
  <c r="AW14" i="25"/>
  <c r="AW24" i="25"/>
  <c r="AW35" i="25"/>
  <c r="AW76" i="25"/>
  <c r="AW31" i="25"/>
  <c r="AW41" i="25"/>
  <c r="AW12" i="25"/>
  <c r="AW42" i="25"/>
  <c r="AW27" i="25"/>
  <c r="AW88" i="25"/>
  <c r="AW6" i="25"/>
  <c r="AW64" i="25"/>
  <c r="AW87" i="25"/>
  <c r="AW36" i="25"/>
  <c r="AW103" i="25"/>
  <c r="AW63" i="25"/>
  <c r="AW62" i="25"/>
  <c r="AW56" i="25"/>
  <c r="AW68" i="25"/>
  <c r="AW94" i="25"/>
  <c r="AW59" i="25"/>
  <c r="AW9" i="25"/>
  <c r="AW26" i="25"/>
  <c r="AW81" i="25"/>
  <c r="AW30" i="25"/>
  <c r="AW11" i="25"/>
  <c r="AW101" i="25"/>
  <c r="AW47" i="25"/>
  <c r="AW37" i="25"/>
  <c r="AW83" i="25"/>
  <c r="AW51" i="25"/>
  <c r="AW86" i="25"/>
  <c r="AW52" i="25"/>
  <c r="AW8" i="25"/>
  <c r="AW71" i="25"/>
  <c r="AW29" i="25"/>
  <c r="AW79" i="25"/>
  <c r="AW78" i="25"/>
  <c r="AW15" i="25"/>
  <c r="AW53" i="25"/>
  <c r="AW48" i="25"/>
  <c r="AW93" i="25"/>
  <c r="AW97" i="25"/>
  <c r="AW21" i="25"/>
  <c r="AW38" i="25"/>
  <c r="AW20" i="25"/>
  <c r="AW92" i="25"/>
  <c r="AW67" i="25"/>
  <c r="AW70" i="25"/>
  <c r="AW105" i="25"/>
  <c r="B94" i="2" s="1"/>
  <c r="E20" i="1" s="1"/>
  <c r="AW49" i="25"/>
  <c r="AW82" i="25"/>
  <c r="AW69" i="25"/>
  <c r="AW44" i="25"/>
  <c r="AW104" i="25"/>
  <c r="AW13" i="25"/>
  <c r="AW102" i="25"/>
  <c r="BS95" i="25"/>
  <c r="CB95" i="25"/>
  <c r="AP216" i="25"/>
  <c r="AR216" i="25"/>
  <c r="BS80" i="25"/>
  <c r="CB80" i="25"/>
  <c r="BS7" i="25"/>
  <c r="BS18" i="25"/>
  <c r="BF66" i="25"/>
  <c r="BF75" i="25"/>
  <c r="BF72" i="25"/>
  <c r="BS90" i="25"/>
  <c r="BF89" i="25"/>
  <c r="BS33" i="25"/>
  <c r="BF16" i="25"/>
  <c r="BS50" i="25"/>
  <c r="BF58" i="25"/>
  <c r="BS32" i="25"/>
  <c r="BF95" i="25"/>
  <c r="BS39" i="25"/>
  <c r="BS46" i="25"/>
  <c r="BS43" i="25"/>
  <c r="AR206" i="25"/>
  <c r="AP206" i="25"/>
  <c r="AW77" i="25"/>
  <c r="AR193" i="25"/>
  <c r="AP193" i="25"/>
  <c r="AR164" i="25"/>
  <c r="AP164" i="25"/>
  <c r="AR231" i="25"/>
  <c r="AP231" i="25"/>
  <c r="AR27" i="25"/>
  <c r="BG27" i="25"/>
  <c r="BH27" i="25"/>
  <c r="AP27" i="25"/>
  <c r="BS27" i="25"/>
  <c r="BF27" i="25"/>
  <c r="AR73" i="25"/>
  <c r="AT73" i="25" s="1"/>
  <c r="AY73" i="25" s="1"/>
  <c r="BG73" i="25"/>
  <c r="BH73" i="25"/>
  <c r="AP73" i="25"/>
  <c r="AR230" i="25"/>
  <c r="AP230" i="25"/>
  <c r="AR118" i="25"/>
  <c r="AP118" i="25"/>
  <c r="AR8" i="25"/>
  <c r="BG8" i="25"/>
  <c r="BH8" i="25"/>
  <c r="AP8" i="25"/>
  <c r="BS8" i="25"/>
  <c r="BF8" i="25"/>
  <c r="AR40" i="25"/>
  <c r="BG40" i="25"/>
  <c r="BH40" i="25"/>
  <c r="AP40" i="25"/>
  <c r="BF40" i="25"/>
  <c r="BS40" i="25"/>
  <c r="AR125" i="25"/>
  <c r="AP125" i="25"/>
  <c r="AR307" i="25"/>
  <c r="AP307" i="25"/>
  <c r="AR137" i="25"/>
  <c r="AP137" i="25"/>
  <c r="AR247" i="25"/>
  <c r="AP247" i="25"/>
  <c r="AR145" i="25"/>
  <c r="AP145" i="25"/>
  <c r="AR202" i="25"/>
  <c r="AP202" i="25"/>
  <c r="AR267" i="25"/>
  <c r="AP267" i="25"/>
  <c r="AR79" i="25"/>
  <c r="BG79" i="25"/>
  <c r="BH79" i="25"/>
  <c r="AP79" i="25"/>
  <c r="BF79" i="25"/>
  <c r="BS79" i="25"/>
  <c r="AW72" i="25"/>
  <c r="AR285" i="25"/>
  <c r="AP285" i="25"/>
  <c r="AR120" i="25"/>
  <c r="AP120" i="25"/>
  <c r="AR176" i="25"/>
  <c r="AP176" i="25"/>
  <c r="AR271" i="25"/>
  <c r="AP271" i="25"/>
  <c r="AW18" i="25"/>
  <c r="AR229" i="25"/>
  <c r="AP229" i="25"/>
  <c r="AR165" i="25"/>
  <c r="AP165" i="25"/>
  <c r="AR70" i="25"/>
  <c r="BG70" i="25"/>
  <c r="BH70" i="25"/>
  <c r="AP70" i="25"/>
  <c r="BF70" i="25"/>
  <c r="BS70" i="25"/>
  <c r="AR228" i="25"/>
  <c r="AP228" i="25"/>
  <c r="AW73" i="25"/>
  <c r="AR166" i="25"/>
  <c r="AP166" i="25"/>
  <c r="AR196" i="25"/>
  <c r="AP196" i="25"/>
  <c r="AR170" i="25"/>
  <c r="AP170" i="25"/>
  <c r="AR244" i="25"/>
  <c r="AP244" i="25"/>
  <c r="AR143" i="25"/>
  <c r="AP143" i="25"/>
  <c r="AR81" i="25"/>
  <c r="BG81" i="25"/>
  <c r="BH81" i="25"/>
  <c r="AP81" i="25"/>
  <c r="BS81" i="25"/>
  <c r="BF81" i="25"/>
  <c r="AW23" i="25"/>
  <c r="AR257" i="25"/>
  <c r="AP257" i="25"/>
  <c r="AR309" i="25"/>
  <c r="AP309" i="25"/>
  <c r="AR102" i="25"/>
  <c r="BG102" i="25"/>
  <c r="BH102" i="25"/>
  <c r="AP102" i="25"/>
  <c r="BS102" i="25"/>
  <c r="BF102" i="25"/>
  <c r="AR85" i="25"/>
  <c r="AT85" i="25" s="1"/>
  <c r="AY85" i="25" s="1"/>
  <c r="BG85" i="25"/>
  <c r="BH85" i="25"/>
  <c r="AP85" i="25"/>
  <c r="AR98" i="25"/>
  <c r="AT98" i="25" s="1"/>
  <c r="AY98" i="25" s="1"/>
  <c r="BG98" i="25"/>
  <c r="BH98" i="25"/>
  <c r="AP98" i="25"/>
  <c r="AW10" i="25"/>
  <c r="AR204" i="25"/>
  <c r="AP204" i="25"/>
  <c r="AR292" i="25"/>
  <c r="AP292" i="25"/>
  <c r="AR124" i="25"/>
  <c r="AP124" i="25"/>
  <c r="AR238" i="25"/>
  <c r="AP238" i="25"/>
  <c r="AR192" i="25"/>
  <c r="AP192" i="25"/>
  <c r="AR54" i="25"/>
  <c r="BG54" i="25"/>
  <c r="BH54" i="25"/>
  <c r="AP54" i="25"/>
  <c r="BS54" i="25"/>
  <c r="BF54" i="25"/>
  <c r="AR60" i="25"/>
  <c r="AT60" i="25" s="1"/>
  <c r="AY60" i="25" s="1"/>
  <c r="BG60" i="25"/>
  <c r="BH60" i="25"/>
  <c r="AP60" i="25"/>
  <c r="AR169" i="25"/>
  <c r="AP169" i="25"/>
  <c r="AR308" i="25"/>
  <c r="AP308" i="25"/>
  <c r="AR161" i="25"/>
  <c r="AP161" i="25"/>
  <c r="AR177" i="25"/>
  <c r="AP177" i="25"/>
  <c r="AR278" i="25"/>
  <c r="AP278" i="25"/>
  <c r="AR115" i="25"/>
  <c r="AP115" i="25"/>
  <c r="AR258" i="25"/>
  <c r="AP258" i="25"/>
  <c r="AR61" i="25"/>
  <c r="BG61" i="25"/>
  <c r="BH61" i="25"/>
  <c r="AP61" i="25"/>
  <c r="BS61" i="25"/>
  <c r="BF61" i="25"/>
  <c r="AR288" i="25"/>
  <c r="AP288" i="25"/>
  <c r="AR71" i="25"/>
  <c r="BG71" i="25"/>
  <c r="BH71" i="25"/>
  <c r="AP71" i="25"/>
  <c r="BF71" i="25"/>
  <c r="BS71" i="25"/>
  <c r="AW34" i="25"/>
  <c r="AR208" i="25"/>
  <c r="AP208" i="25"/>
  <c r="AR128" i="25"/>
  <c r="AP128" i="25"/>
  <c r="AR84" i="25"/>
  <c r="AT84" i="25" s="1"/>
  <c r="AY84" i="25" s="1"/>
  <c r="BG84" i="25"/>
  <c r="BH84" i="25"/>
  <c r="AP84" i="25"/>
  <c r="AW16" i="25"/>
  <c r="AR29" i="25"/>
  <c r="BG29" i="25"/>
  <c r="BH29" i="25"/>
  <c r="AP29" i="25"/>
  <c r="BF29" i="25"/>
  <c r="BS29" i="25"/>
  <c r="AR217" i="25"/>
  <c r="AP217" i="25"/>
  <c r="BF98" i="25"/>
  <c r="AR38" i="25"/>
  <c r="BG38" i="25"/>
  <c r="BH38" i="25"/>
  <c r="AP38" i="25"/>
  <c r="BS38" i="25"/>
  <c r="BF38" i="25"/>
  <c r="AR55" i="25"/>
  <c r="AT55" i="25" s="1"/>
  <c r="AY55" i="25" s="1"/>
  <c r="BG55" i="25"/>
  <c r="BH55" i="25"/>
  <c r="AP55" i="25"/>
  <c r="AR41" i="25"/>
  <c r="BG41" i="25"/>
  <c r="BH41" i="25"/>
  <c r="AP41" i="25"/>
  <c r="BS41" i="25"/>
  <c r="BF41" i="25"/>
  <c r="AR194" i="25"/>
  <c r="AP194" i="25"/>
  <c r="AR22" i="25"/>
  <c r="BG22" i="25"/>
  <c r="BH22" i="25"/>
  <c r="AP22" i="25"/>
  <c r="BF22" i="25"/>
  <c r="BS22" i="25"/>
  <c r="AR260" i="25"/>
  <c r="AP260" i="25"/>
  <c r="AR74" i="25"/>
  <c r="AT74" i="25" s="1"/>
  <c r="AY74" i="25" s="1"/>
  <c r="BG74" i="25"/>
  <c r="BH74" i="25"/>
  <c r="AP74" i="25"/>
  <c r="AR286" i="25"/>
  <c r="AP286" i="25"/>
  <c r="AR264" i="25"/>
  <c r="AP264" i="25"/>
  <c r="AR155" i="25"/>
  <c r="AP155" i="25"/>
  <c r="AR153" i="25"/>
  <c r="AP153" i="25"/>
  <c r="AR135" i="25"/>
  <c r="AP135" i="25"/>
  <c r="AR242" i="25"/>
  <c r="AP242" i="25"/>
  <c r="AR99" i="25"/>
  <c r="AT99" i="25" s="1"/>
  <c r="AY99" i="25" s="1"/>
  <c r="BG99" i="25"/>
  <c r="BH99" i="25"/>
  <c r="AP99" i="25"/>
  <c r="AR132" i="25"/>
  <c r="AP132" i="25"/>
  <c r="AR111" i="25"/>
  <c r="AP111" i="25"/>
  <c r="AR44" i="25"/>
  <c r="BG44" i="25"/>
  <c r="BH44" i="25"/>
  <c r="AP44" i="25"/>
  <c r="BS44" i="25"/>
  <c r="BF44" i="25"/>
  <c r="AR312" i="25"/>
  <c r="AP312" i="25"/>
  <c r="AR80" i="25"/>
  <c r="AT80" i="25" s="1"/>
  <c r="AY80" i="25" s="1"/>
  <c r="BG80" i="25"/>
  <c r="BH80" i="25"/>
  <c r="AP80" i="25"/>
  <c r="AW32" i="25"/>
  <c r="BF55" i="25"/>
  <c r="AR147" i="25"/>
  <c r="AP147" i="25"/>
  <c r="AR237" i="25"/>
  <c r="AP237" i="25"/>
  <c r="AR225" i="25"/>
  <c r="AP225" i="25"/>
  <c r="AR255" i="25"/>
  <c r="AP255" i="25"/>
  <c r="AR298" i="25"/>
  <c r="AP298" i="25"/>
  <c r="AR82" i="25"/>
  <c r="BG82" i="25"/>
  <c r="BH82" i="25"/>
  <c r="AP82" i="25"/>
  <c r="BS82" i="25"/>
  <c r="BF82" i="25"/>
  <c r="AR30" i="25"/>
  <c r="BG30" i="25"/>
  <c r="BH30" i="25"/>
  <c r="AP30" i="25"/>
  <c r="BS30" i="25"/>
  <c r="BF30" i="25"/>
  <c r="AR88" i="25"/>
  <c r="BG88" i="25"/>
  <c r="BH88" i="25"/>
  <c r="AP88" i="25"/>
  <c r="BF88" i="25"/>
  <c r="BS88" i="25"/>
  <c r="AR201" i="25"/>
  <c r="AP201" i="25"/>
  <c r="AW74" i="25"/>
  <c r="AR306" i="25"/>
  <c r="AP306" i="25"/>
  <c r="AR21" i="25"/>
  <c r="BG21" i="25"/>
  <c r="BH21" i="25"/>
  <c r="AP21" i="25"/>
  <c r="BF21" i="25"/>
  <c r="BS21" i="25"/>
  <c r="AR284" i="25"/>
  <c r="AP284" i="25"/>
  <c r="AR305" i="25"/>
  <c r="AP305" i="25"/>
  <c r="AR236" i="25"/>
  <c r="AP236" i="25"/>
  <c r="AR83" i="25"/>
  <c r="BG83" i="25"/>
  <c r="BH83" i="25"/>
  <c r="AP83" i="25"/>
  <c r="BF83" i="25"/>
  <c r="BS83" i="25"/>
  <c r="AR246" i="25"/>
  <c r="AP246" i="25"/>
  <c r="AR220" i="25"/>
  <c r="AP220" i="25"/>
  <c r="BF99" i="25"/>
  <c r="AW99" i="25"/>
  <c r="AR140" i="25"/>
  <c r="AP140" i="25"/>
  <c r="AR47" i="25"/>
  <c r="BG47" i="25"/>
  <c r="BH47" i="25"/>
  <c r="AP47" i="25"/>
  <c r="BS47" i="25"/>
  <c r="BF47" i="25"/>
  <c r="AR179" i="25"/>
  <c r="AP179" i="25"/>
  <c r="AR195" i="25"/>
  <c r="AP195" i="25"/>
  <c r="AR142" i="25"/>
  <c r="AP142" i="25"/>
  <c r="AW84" i="25"/>
  <c r="AR268" i="25"/>
  <c r="AP268" i="25"/>
  <c r="AR261" i="25"/>
  <c r="AP261" i="25"/>
  <c r="AR37" i="25"/>
  <c r="BG37" i="25"/>
  <c r="BH37" i="25"/>
  <c r="AP37" i="25"/>
  <c r="BS37" i="25"/>
  <c r="BF37" i="25"/>
  <c r="AR25" i="25"/>
  <c r="AT25" i="25" s="1"/>
  <c r="AY25" i="25" s="1"/>
  <c r="BG25" i="25"/>
  <c r="BH25" i="25"/>
  <c r="AP25" i="25"/>
  <c r="AR100" i="25"/>
  <c r="BG100" i="25"/>
  <c r="BH100" i="25"/>
  <c r="AP100" i="25"/>
  <c r="BF100" i="25"/>
  <c r="BS100" i="25"/>
  <c r="AR223" i="25"/>
  <c r="AP223" i="25"/>
  <c r="AR240" i="25"/>
  <c r="AP240" i="25"/>
  <c r="AR297" i="25"/>
  <c r="AP297" i="25"/>
  <c r="AR218" i="25"/>
  <c r="AP218" i="25"/>
  <c r="AR302" i="25"/>
  <c r="AP302" i="25"/>
  <c r="AR141" i="25"/>
  <c r="AP141" i="25"/>
  <c r="AR303" i="25"/>
  <c r="AP303" i="25"/>
  <c r="AW66" i="25"/>
  <c r="AR279" i="25"/>
  <c r="AP279" i="25"/>
  <c r="AR10" i="25"/>
  <c r="AT10" i="25" s="1"/>
  <c r="AY10" i="25" s="1"/>
  <c r="BG10" i="25"/>
  <c r="BH10" i="25"/>
  <c r="AP10" i="25"/>
  <c r="AR67" i="25"/>
  <c r="BG67" i="25"/>
  <c r="BH67" i="25"/>
  <c r="AP67" i="25"/>
  <c r="BS67" i="25"/>
  <c r="BF67" i="25"/>
  <c r="AR90" i="25"/>
  <c r="AT90" i="25" s="1"/>
  <c r="AY90" i="25" s="1"/>
  <c r="BG90" i="25"/>
  <c r="BH90" i="25"/>
  <c r="AP90" i="25"/>
  <c r="AR69" i="25"/>
  <c r="BG69" i="25"/>
  <c r="BH69" i="25"/>
  <c r="AP69" i="25"/>
  <c r="BS69" i="25"/>
  <c r="BF69" i="25"/>
  <c r="AR114" i="25"/>
  <c r="AP114" i="25"/>
  <c r="AR296" i="25"/>
  <c r="AP296" i="25"/>
  <c r="AR105" i="25"/>
  <c r="BG105" i="25"/>
  <c r="BH105" i="25"/>
  <c r="AP105" i="25"/>
  <c r="BF105" i="25"/>
  <c r="BS105" i="25"/>
  <c r="AR149" i="25"/>
  <c r="AP149" i="25"/>
  <c r="AR28" i="25"/>
  <c r="BG28" i="25"/>
  <c r="BH28" i="25"/>
  <c r="AP28" i="25"/>
  <c r="BS28" i="25"/>
  <c r="BF28" i="25"/>
  <c r="AR126" i="25"/>
  <c r="AP126" i="25"/>
  <c r="AR200" i="25"/>
  <c r="AP200" i="25"/>
  <c r="AR18" i="25"/>
  <c r="AT18" i="25" s="1"/>
  <c r="AY18" i="25" s="1"/>
  <c r="BG18" i="25"/>
  <c r="BH18" i="25"/>
  <c r="AP18" i="25"/>
  <c r="AR158" i="25"/>
  <c r="AP158" i="25"/>
  <c r="AR290" i="25"/>
  <c r="AP290" i="25"/>
  <c r="AR295" i="25"/>
  <c r="AP295" i="25"/>
  <c r="AR245" i="25"/>
  <c r="AP245" i="25"/>
  <c r="BF25" i="25"/>
  <c r="AR233" i="25"/>
  <c r="AP233" i="25"/>
  <c r="AR273" i="25"/>
  <c r="AP273" i="25"/>
  <c r="AR313" i="25"/>
  <c r="AP313" i="25"/>
  <c r="AR222" i="25"/>
  <c r="AP222" i="25"/>
  <c r="AR121" i="25"/>
  <c r="AP121" i="25"/>
  <c r="AR131" i="25"/>
  <c r="AP131" i="25"/>
  <c r="AW33" i="25"/>
  <c r="AR139" i="25"/>
  <c r="AP139" i="25"/>
  <c r="AW90" i="25"/>
  <c r="AR180" i="25"/>
  <c r="AP180" i="25"/>
  <c r="AR113" i="25"/>
  <c r="AP113" i="25"/>
  <c r="AR56" i="25"/>
  <c r="BG56" i="25"/>
  <c r="BH56" i="25"/>
  <c r="AP56" i="25"/>
  <c r="BF56" i="25"/>
  <c r="BS56" i="25"/>
  <c r="AR272" i="25"/>
  <c r="AP272" i="25"/>
  <c r="AR14" i="25"/>
  <c r="BG14" i="25"/>
  <c r="BH14" i="25"/>
  <c r="AP14" i="25"/>
  <c r="BF14" i="25"/>
  <c r="BS14" i="25"/>
  <c r="AR93" i="25"/>
  <c r="BG93" i="25"/>
  <c r="BH93" i="25"/>
  <c r="AP93" i="25"/>
  <c r="BF93" i="25"/>
  <c r="BS93" i="25"/>
  <c r="AR269" i="25"/>
  <c r="AP269" i="25"/>
  <c r="AR254" i="25"/>
  <c r="AP254" i="25"/>
  <c r="AR136" i="25"/>
  <c r="AP136" i="25"/>
  <c r="AR138" i="25"/>
  <c r="AP138" i="25"/>
  <c r="AR116" i="25"/>
  <c r="AP116" i="25"/>
  <c r="AR156" i="25"/>
  <c r="AP156" i="25"/>
  <c r="AR224" i="25"/>
  <c r="AP224" i="25"/>
  <c r="AR189" i="25"/>
  <c r="AP189" i="25"/>
  <c r="AR265" i="25"/>
  <c r="AP265" i="25"/>
  <c r="AR91" i="25"/>
  <c r="BG91" i="25"/>
  <c r="BH91" i="25"/>
  <c r="AP91" i="25"/>
  <c r="BS91" i="25"/>
  <c r="BF91" i="25"/>
  <c r="AR304" i="25"/>
  <c r="AP304" i="25"/>
  <c r="AR134" i="25"/>
  <c r="AP134" i="25"/>
  <c r="AR190" i="25"/>
  <c r="AP190" i="25"/>
  <c r="AR68" i="25"/>
  <c r="BG68" i="25"/>
  <c r="BH68" i="25"/>
  <c r="AP68" i="25"/>
  <c r="BS68" i="25"/>
  <c r="BF68" i="25"/>
  <c r="AR199" i="25"/>
  <c r="AP199" i="25"/>
  <c r="AR207" i="25"/>
  <c r="AP207" i="25"/>
  <c r="AR86" i="25"/>
  <c r="BG86" i="25"/>
  <c r="BH86" i="25"/>
  <c r="AP86" i="25"/>
  <c r="BS86" i="25"/>
  <c r="BF86" i="25"/>
  <c r="AR256" i="25"/>
  <c r="AP256" i="25"/>
  <c r="AR281" i="25"/>
  <c r="AP281" i="25"/>
  <c r="AR197" i="25"/>
  <c r="AP197" i="25"/>
  <c r="AR183" i="25"/>
  <c r="AP183" i="25"/>
  <c r="AR274" i="25"/>
  <c r="AP274" i="25"/>
  <c r="AR148" i="25"/>
  <c r="AP148" i="25"/>
  <c r="AR13" i="25"/>
  <c r="BG13" i="25"/>
  <c r="BH13" i="25"/>
  <c r="AP13" i="25"/>
  <c r="BS13" i="25"/>
  <c r="BF13" i="25"/>
  <c r="AR253" i="25"/>
  <c r="AP253" i="25"/>
  <c r="AR24" i="25"/>
  <c r="BG24" i="25"/>
  <c r="BH24" i="25"/>
  <c r="AP24" i="25"/>
  <c r="BS24" i="25"/>
  <c r="BF24" i="25"/>
  <c r="AR289" i="25"/>
  <c r="AP289" i="25"/>
  <c r="AR181" i="25"/>
  <c r="AP181" i="25"/>
  <c r="AR65" i="25"/>
  <c r="AT65" i="25" s="1"/>
  <c r="AY65" i="25" s="1"/>
  <c r="BG65" i="25"/>
  <c r="BH65" i="25"/>
  <c r="AP65" i="25"/>
  <c r="AW80" i="25"/>
  <c r="AR45" i="25"/>
  <c r="AT45" i="25" s="1"/>
  <c r="AY45" i="25" s="1"/>
  <c r="BG45" i="25"/>
  <c r="BH45" i="25"/>
  <c r="AP45" i="25"/>
  <c r="AR234" i="25"/>
  <c r="AP234" i="25"/>
  <c r="AR188" i="25"/>
  <c r="AP188" i="25"/>
  <c r="AR129" i="25"/>
  <c r="AP129" i="25"/>
  <c r="AR314" i="25"/>
  <c r="AP314" i="25"/>
  <c r="AR152" i="25"/>
  <c r="AP152" i="25"/>
  <c r="AR34" i="25"/>
  <c r="AT34" i="25" s="1"/>
  <c r="AY34" i="25" s="1"/>
  <c r="BG34" i="25"/>
  <c r="BH34" i="25"/>
  <c r="AP34" i="25"/>
  <c r="AW45" i="25"/>
  <c r="AW43" i="25"/>
  <c r="AR87" i="25"/>
  <c r="BG87" i="25"/>
  <c r="BH87" i="25"/>
  <c r="AP87" i="25"/>
  <c r="BF87" i="25"/>
  <c r="BS87" i="25"/>
  <c r="AR31" i="25"/>
  <c r="BG31" i="25"/>
  <c r="BH31" i="25"/>
  <c r="AP31" i="25"/>
  <c r="BS31" i="25"/>
  <c r="BF31" i="25"/>
  <c r="AR259" i="25"/>
  <c r="AP259" i="25"/>
  <c r="AR94" i="25"/>
  <c r="BG94" i="25"/>
  <c r="BH94" i="25"/>
  <c r="AP94" i="25"/>
  <c r="BF94" i="25"/>
  <c r="BS94" i="25"/>
  <c r="AR42" i="25"/>
  <c r="BG42" i="25"/>
  <c r="BH42" i="25"/>
  <c r="AP42" i="25"/>
  <c r="BF42" i="25"/>
  <c r="BS42" i="25"/>
  <c r="AR294" i="25"/>
  <c r="AP294" i="25"/>
  <c r="AW85" i="25"/>
  <c r="AR232" i="25"/>
  <c r="AP232" i="25"/>
  <c r="AR77" i="25"/>
  <c r="AT77" i="25" s="1"/>
  <c r="AY77" i="25" s="1"/>
  <c r="BG77" i="25"/>
  <c r="BH77" i="25"/>
  <c r="AP77" i="25"/>
  <c r="AR299" i="25"/>
  <c r="AP299" i="25"/>
  <c r="AR243" i="25"/>
  <c r="AP243" i="25"/>
  <c r="AR226" i="25"/>
  <c r="AP226" i="25"/>
  <c r="AR316" i="25"/>
  <c r="AP316" i="25"/>
  <c r="AR167" i="25"/>
  <c r="AP167" i="25"/>
  <c r="AR283" i="25"/>
  <c r="AP283" i="25"/>
  <c r="AR203" i="25"/>
  <c r="AP203" i="25"/>
  <c r="AR96" i="25"/>
  <c r="BG96" i="25"/>
  <c r="BH96" i="25"/>
  <c r="AP96" i="25"/>
  <c r="BF96" i="25"/>
  <c r="BS96" i="25"/>
  <c r="AR154" i="25"/>
  <c r="AP154" i="25"/>
  <c r="AR19" i="25"/>
  <c r="AT19" i="25" s="1"/>
  <c r="AY19" i="25" s="1"/>
  <c r="BG19" i="25"/>
  <c r="BH19" i="25"/>
  <c r="AP19" i="25"/>
  <c r="AR52" i="25"/>
  <c r="BG52" i="25"/>
  <c r="BH52" i="25"/>
  <c r="AP52" i="25"/>
  <c r="BS52" i="25"/>
  <c r="BF52" i="25"/>
  <c r="BF65" i="25"/>
  <c r="AW50" i="25"/>
  <c r="AR119" i="25"/>
  <c r="AP119" i="25"/>
  <c r="AR101" i="25"/>
  <c r="BG101" i="25"/>
  <c r="BH101" i="25"/>
  <c r="AP101" i="25"/>
  <c r="BS101" i="25"/>
  <c r="BF101" i="25"/>
  <c r="AR144" i="25"/>
  <c r="AP144" i="25"/>
  <c r="AW19" i="25"/>
  <c r="AR263" i="25"/>
  <c r="AP263" i="25"/>
  <c r="AW89" i="25"/>
  <c r="AR239" i="25"/>
  <c r="AP239" i="25"/>
  <c r="AR249" i="25"/>
  <c r="AP249" i="25"/>
  <c r="AR97" i="25"/>
  <c r="BG97" i="25"/>
  <c r="BH97" i="25"/>
  <c r="AP97" i="25"/>
  <c r="BS97" i="25"/>
  <c r="BF97" i="25"/>
  <c r="AR241" i="25"/>
  <c r="AP241" i="25"/>
  <c r="AR287" i="25"/>
  <c r="AP287" i="25"/>
  <c r="AR89" i="25"/>
  <c r="AT89" i="25" s="1"/>
  <c r="AY89" i="25" s="1"/>
  <c r="BG89" i="25"/>
  <c r="BH89" i="25"/>
  <c r="AP89" i="25"/>
  <c r="AR276" i="25"/>
  <c r="AP276" i="25"/>
  <c r="AR184" i="25"/>
  <c r="AP184" i="25"/>
  <c r="BS45" i="25"/>
  <c r="AW98" i="25"/>
  <c r="BS73" i="25"/>
  <c r="AR182" i="25"/>
  <c r="AP182" i="25"/>
  <c r="AR35" i="25"/>
  <c r="BG35" i="25"/>
  <c r="BH35" i="25"/>
  <c r="AP35" i="25"/>
  <c r="BS35" i="25"/>
  <c r="BF35" i="25"/>
  <c r="AR57" i="25"/>
  <c r="AT57" i="25" s="1"/>
  <c r="AY57" i="25" s="1"/>
  <c r="BG57" i="25"/>
  <c r="BH57" i="25"/>
  <c r="AP57" i="25"/>
  <c r="AW46" i="25"/>
  <c r="AR310" i="25"/>
  <c r="AP310" i="25"/>
  <c r="BF57" i="25"/>
  <c r="AR159" i="25"/>
  <c r="AP159" i="25"/>
  <c r="BS60" i="25"/>
  <c r="AR59" i="25"/>
  <c r="BG59" i="25"/>
  <c r="BH59" i="25"/>
  <c r="AP59" i="25"/>
  <c r="BS59" i="25"/>
  <c r="BF59" i="25"/>
  <c r="AR162" i="25"/>
  <c r="AP162" i="25"/>
  <c r="AR275" i="25"/>
  <c r="AP275" i="25"/>
  <c r="AR315" i="25"/>
  <c r="AP315" i="25"/>
  <c r="BS77" i="25"/>
  <c r="BF85" i="25"/>
  <c r="AR219" i="25"/>
  <c r="AP219" i="25"/>
  <c r="AR123" i="25"/>
  <c r="AP123" i="25"/>
  <c r="AR300" i="25"/>
  <c r="AP300" i="25"/>
  <c r="AR33" i="25"/>
  <c r="AT33" i="25" s="1"/>
  <c r="AY33" i="25" s="1"/>
  <c r="BG33" i="25"/>
  <c r="BH33" i="25"/>
  <c r="AP33" i="25"/>
  <c r="AR50" i="25"/>
  <c r="AT50" i="25" s="1"/>
  <c r="AY50" i="25" s="1"/>
  <c r="BG50" i="25"/>
  <c r="BH50" i="25"/>
  <c r="AP50" i="25"/>
  <c r="AR301" i="25"/>
  <c r="AP301" i="25"/>
  <c r="AR63" i="25"/>
  <c r="BG63" i="25"/>
  <c r="BH63" i="25"/>
  <c r="AP63" i="25"/>
  <c r="BF63" i="25"/>
  <c r="BS63" i="25"/>
  <c r="AR146" i="25"/>
  <c r="AP146" i="25"/>
  <c r="AW7" i="25"/>
  <c r="AR262" i="25"/>
  <c r="AP262" i="25"/>
  <c r="AW55" i="25"/>
  <c r="AR205" i="25"/>
  <c r="AP205" i="25"/>
  <c r="AR175" i="25"/>
  <c r="AP175" i="25"/>
  <c r="AR163" i="25"/>
  <c r="AP163" i="25"/>
  <c r="AR172" i="25"/>
  <c r="AP172" i="25"/>
  <c r="AR248" i="25"/>
  <c r="AP248" i="25"/>
  <c r="AR209" i="25"/>
  <c r="AP209" i="25"/>
  <c r="AR48" i="25"/>
  <c r="BG48" i="25"/>
  <c r="BH48" i="25"/>
  <c r="AP48" i="25"/>
  <c r="BF48" i="25"/>
  <c r="BS48" i="25"/>
  <c r="AR235" i="25"/>
  <c r="AP235" i="25"/>
  <c r="BF74" i="25"/>
  <c r="BS99" i="25"/>
  <c r="AW95" i="25"/>
  <c r="AR187" i="25"/>
  <c r="AP187" i="25"/>
  <c r="AR23" i="25"/>
  <c r="AT23" i="25" s="1"/>
  <c r="AY23" i="25" s="1"/>
  <c r="BG23" i="25"/>
  <c r="BH23" i="25"/>
  <c r="AP23" i="25"/>
  <c r="AR46" i="25"/>
  <c r="AT46" i="25" s="1"/>
  <c r="AY46" i="25" s="1"/>
  <c r="BG46" i="25"/>
  <c r="BH46" i="25"/>
  <c r="AP46" i="25"/>
  <c r="AR130" i="25"/>
  <c r="AP130" i="25"/>
  <c r="AR76" i="25"/>
  <c r="BG76" i="25"/>
  <c r="BH76" i="25"/>
  <c r="AP76" i="25"/>
  <c r="BS76" i="25"/>
  <c r="BF76" i="25"/>
  <c r="AR36" i="25"/>
  <c r="BG36" i="25"/>
  <c r="BH36" i="25"/>
  <c r="AP36" i="25"/>
  <c r="BF36" i="25"/>
  <c r="BS36" i="25"/>
  <c r="AW39" i="25"/>
  <c r="BS84" i="25"/>
  <c r="AW75" i="25"/>
  <c r="AW65" i="25"/>
  <c r="AR12" i="25"/>
  <c r="BG12" i="25"/>
  <c r="BH12" i="25"/>
  <c r="AP12" i="25"/>
  <c r="BS12" i="25"/>
  <c r="BF12" i="25"/>
  <c r="BG6" i="25"/>
  <c r="AR6" i="25"/>
  <c r="BH6" i="25"/>
  <c r="AP6" i="25"/>
  <c r="BF6" i="25"/>
  <c r="BS6" i="25"/>
  <c r="AR280" i="25"/>
  <c r="AP280" i="25"/>
  <c r="AR185" i="25"/>
  <c r="AP185" i="25"/>
  <c r="AR62" i="25"/>
  <c r="BG62" i="25"/>
  <c r="BH62" i="25"/>
  <c r="AP62" i="25"/>
  <c r="BS62" i="25"/>
  <c r="BF62" i="25"/>
  <c r="AR227" i="25"/>
  <c r="AP227" i="25"/>
  <c r="AR198" i="25"/>
  <c r="AP198" i="25"/>
  <c r="AR133" i="25"/>
  <c r="AP133" i="25"/>
  <c r="AR43" i="25"/>
  <c r="AT43" i="25" s="1"/>
  <c r="AY43" i="25" s="1"/>
  <c r="BG43" i="25"/>
  <c r="BH43" i="25"/>
  <c r="AP43" i="25"/>
  <c r="AR221" i="25"/>
  <c r="AP221" i="25"/>
  <c r="AR122" i="25"/>
  <c r="AP122" i="25"/>
  <c r="AR168" i="25"/>
  <c r="AP168" i="25"/>
  <c r="BS19" i="25"/>
  <c r="AR11" i="25"/>
  <c r="BG11" i="25"/>
  <c r="BH11" i="25"/>
  <c r="AP11" i="25"/>
  <c r="BS11" i="25"/>
  <c r="BF11" i="25"/>
  <c r="BF80" i="25"/>
  <c r="AR104" i="25"/>
  <c r="BG104" i="25"/>
  <c r="BH104" i="25"/>
  <c r="AP104" i="25"/>
  <c r="BS104" i="25"/>
  <c r="BF104" i="25"/>
  <c r="BG9" i="25"/>
  <c r="AR9" i="25"/>
  <c r="BH9" i="25"/>
  <c r="AP9" i="25"/>
  <c r="BF9" i="25"/>
  <c r="BS9" i="25"/>
  <c r="AR32" i="25"/>
  <c r="AT32" i="25" s="1"/>
  <c r="AY32" i="25" s="1"/>
  <c r="BG32" i="25"/>
  <c r="BH32" i="25"/>
  <c r="AP32" i="25"/>
  <c r="AR92" i="25"/>
  <c r="BG92" i="25"/>
  <c r="BH92" i="25"/>
  <c r="AP92" i="25"/>
  <c r="BF92" i="25"/>
  <c r="BS92" i="25"/>
  <c r="AR277" i="25"/>
  <c r="AP277" i="25"/>
  <c r="AR58" i="25"/>
  <c r="AT58" i="25" s="1"/>
  <c r="AY58" i="25" s="1"/>
  <c r="BG58" i="25"/>
  <c r="BH58" i="25"/>
  <c r="AP58" i="25"/>
  <c r="BS34" i="25"/>
  <c r="AR72" i="25"/>
  <c r="AT72" i="25" s="1"/>
  <c r="AY72" i="25" s="1"/>
  <c r="BG72" i="25"/>
  <c r="BH72" i="25"/>
  <c r="AP72" i="25"/>
  <c r="AR117" i="25"/>
  <c r="AP117" i="25"/>
  <c r="AR160" i="25"/>
  <c r="AP160" i="25"/>
  <c r="AR49" i="25"/>
  <c r="BG49" i="25"/>
  <c r="BH49" i="25"/>
  <c r="AP49" i="25"/>
  <c r="BF49" i="25"/>
  <c r="BS49" i="25"/>
  <c r="AR291" i="25"/>
  <c r="AP291" i="25"/>
  <c r="AR191" i="25"/>
  <c r="AP191" i="25"/>
  <c r="AR150" i="25"/>
  <c r="AP150" i="25"/>
  <c r="AR75" i="25"/>
  <c r="AT75" i="25" s="1"/>
  <c r="AY75" i="25" s="1"/>
  <c r="BG75" i="25"/>
  <c r="BH75" i="25"/>
  <c r="AP75" i="25"/>
  <c r="AR151" i="25"/>
  <c r="AP151" i="25"/>
  <c r="AR266" i="25"/>
  <c r="AP266" i="25"/>
  <c r="AR171" i="25"/>
  <c r="AP171" i="25"/>
  <c r="AR95" i="25"/>
  <c r="AT95" i="25" s="1"/>
  <c r="AY95" i="25" s="1"/>
  <c r="BG95" i="25"/>
  <c r="BH95" i="25"/>
  <c r="AP95" i="25"/>
  <c r="AR112" i="25"/>
  <c r="AP112" i="25"/>
  <c r="AR7" i="25"/>
  <c r="AT7" i="25" s="1"/>
  <c r="AY7" i="25" s="1"/>
  <c r="BG7" i="25"/>
  <c r="BH7" i="25"/>
  <c r="AP7" i="25"/>
  <c r="AR51" i="25"/>
  <c r="BG51" i="25"/>
  <c r="BH51" i="25"/>
  <c r="AP51" i="25"/>
  <c r="BS51" i="25"/>
  <c r="BF51" i="25"/>
  <c r="AR270" i="25"/>
  <c r="AP270" i="25"/>
  <c r="AR282" i="25"/>
  <c r="AP282" i="25"/>
  <c r="AR186" i="25"/>
  <c r="AP186" i="25"/>
  <c r="BF45" i="25"/>
  <c r="AR64" i="25"/>
  <c r="BG64" i="25"/>
  <c r="BH64" i="25"/>
  <c r="AP64" i="25"/>
  <c r="BS64" i="25"/>
  <c r="BF64" i="25"/>
  <c r="AW25" i="25"/>
  <c r="BF73" i="25"/>
  <c r="AR252" i="25"/>
  <c r="AP252" i="25"/>
  <c r="AR16" i="25"/>
  <c r="AT16" i="25" s="1"/>
  <c r="AY16" i="25" s="1"/>
  <c r="BG16" i="25"/>
  <c r="BH16" i="25"/>
  <c r="AP16" i="25"/>
  <c r="AR251" i="25"/>
  <c r="AP251" i="25"/>
  <c r="AR20" i="25"/>
  <c r="BG20" i="25"/>
  <c r="BH20" i="25"/>
  <c r="AP20" i="25"/>
  <c r="BS20" i="25"/>
  <c r="BF20" i="25"/>
  <c r="AR39" i="25"/>
  <c r="AT39" i="25" s="1"/>
  <c r="AY39" i="25" s="1"/>
  <c r="BG39" i="25"/>
  <c r="BH39" i="25"/>
  <c r="AP39" i="25"/>
  <c r="AR53" i="25"/>
  <c r="BG53" i="25"/>
  <c r="BH53" i="25"/>
  <c r="AP53" i="25"/>
  <c r="BS53" i="25"/>
  <c r="BF53" i="25"/>
  <c r="AR78" i="25"/>
  <c r="BG78" i="25"/>
  <c r="BH78" i="25"/>
  <c r="AP78" i="25"/>
  <c r="BF78" i="25"/>
  <c r="BS78" i="25"/>
  <c r="AR250" i="25"/>
  <c r="AP250" i="25"/>
  <c r="AR66" i="25"/>
  <c r="AT66" i="25" s="1"/>
  <c r="AY66" i="25" s="1"/>
  <c r="BG66" i="25"/>
  <c r="BH66" i="25"/>
  <c r="AP66" i="25"/>
  <c r="AR17" i="25"/>
  <c r="BG17" i="25"/>
  <c r="BH17" i="25"/>
  <c r="AP17" i="25"/>
  <c r="BS17" i="25"/>
  <c r="BF17" i="25"/>
  <c r="AW58" i="25"/>
  <c r="BF23" i="25"/>
  <c r="AR178" i="25"/>
  <c r="AP178" i="25"/>
  <c r="AR210" i="25"/>
  <c r="AP210" i="25"/>
  <c r="AR15" i="25"/>
  <c r="BG15" i="25"/>
  <c r="BH15" i="25"/>
  <c r="AP15" i="25"/>
  <c r="BF15" i="25"/>
  <c r="BS15" i="25"/>
  <c r="AR157" i="25"/>
  <c r="AP157" i="25"/>
  <c r="AW57" i="25"/>
  <c r="AR103" i="25"/>
  <c r="BG103" i="25"/>
  <c r="BH103" i="25"/>
  <c r="AP103" i="25"/>
  <c r="BS103" i="25"/>
  <c r="BF103" i="25"/>
  <c r="AR311" i="25"/>
  <c r="AP311" i="25"/>
  <c r="AW60" i="25"/>
  <c r="AR173" i="25"/>
  <c r="AP173" i="25"/>
  <c r="AR26" i="25"/>
  <c r="BG26" i="25"/>
  <c r="BH26" i="25"/>
  <c r="AP26" i="25"/>
  <c r="BF26" i="25"/>
  <c r="BS26" i="25"/>
  <c r="AR127" i="25"/>
  <c r="AP127" i="25"/>
  <c r="AR293" i="25"/>
  <c r="AP293" i="25"/>
  <c r="BS10" i="25"/>
  <c r="AR174" i="25"/>
  <c r="AP174" i="25"/>
  <c r="BS19" i="24"/>
  <c r="BS36" i="24"/>
  <c r="BS40" i="24"/>
  <c r="BS18" i="24"/>
  <c r="BH82" i="24"/>
  <c r="BS82" i="24"/>
  <c r="BH68" i="24"/>
  <c r="BS68" i="24"/>
  <c r="BH83" i="24"/>
  <c r="BS83" i="24"/>
  <c r="BH89" i="24"/>
  <c r="BS89" i="24"/>
  <c r="BH79" i="24"/>
  <c r="BS79" i="24"/>
  <c r="BH32" i="24"/>
  <c r="BS32" i="24"/>
  <c r="BH56" i="24"/>
  <c r="BS56" i="24"/>
  <c r="BH63" i="24"/>
  <c r="BS63" i="24"/>
  <c r="BH29" i="24"/>
  <c r="BS29" i="24"/>
  <c r="BS46" i="24"/>
  <c r="BH74" i="24"/>
  <c r="BS74" i="24"/>
  <c r="BH59" i="24"/>
  <c r="BS59" i="24"/>
  <c r="BH96" i="24"/>
  <c r="BS96" i="24"/>
  <c r="BH31" i="24"/>
  <c r="BS31" i="24"/>
  <c r="BH100" i="24"/>
  <c r="BS100" i="24"/>
  <c r="BH54" i="24"/>
  <c r="BS54" i="24"/>
  <c r="BH92" i="24"/>
  <c r="BS92" i="24"/>
  <c r="BH72" i="24"/>
  <c r="BS72" i="24"/>
  <c r="BH42" i="24"/>
  <c r="BS42" i="24"/>
  <c r="BS21" i="24"/>
  <c r="BS28" i="24"/>
  <c r="BH85" i="24"/>
  <c r="AS40" i="24"/>
  <c r="BI32" i="24"/>
  <c r="AS32" i="24"/>
  <c r="AW32" i="24" s="1"/>
  <c r="AY32" i="24" s="1"/>
  <c r="AZ32" i="24" s="1"/>
  <c r="BJ32" i="24"/>
  <c r="AQ40" i="24"/>
  <c r="BI40" i="24"/>
  <c r="BJ40" i="24"/>
  <c r="AQ32" i="24"/>
  <c r="AS201" i="24"/>
  <c r="AQ201" i="24"/>
  <c r="AS202" i="24"/>
  <c r="AQ202" i="24"/>
  <c r="CB208" i="24"/>
  <c r="AS200" i="24"/>
  <c r="CB200" i="24"/>
  <c r="AS197" i="24"/>
  <c r="AQ197" i="24"/>
  <c r="AS185" i="24"/>
  <c r="AQ185" i="24"/>
  <c r="AS183" i="24"/>
  <c r="AQ183" i="24"/>
  <c r="AS187" i="24"/>
  <c r="AQ187" i="24"/>
  <c r="CB191" i="24"/>
  <c r="AS190" i="24"/>
  <c r="AQ190" i="24"/>
  <c r="BH18" i="24"/>
  <c r="BI53" i="24"/>
  <c r="BH53" i="24"/>
  <c r="BJ56" i="24"/>
  <c r="BI56" i="24"/>
  <c r="BJ63" i="24"/>
  <c r="BI63" i="24"/>
  <c r="BJ29" i="24"/>
  <c r="BI29" i="24"/>
  <c r="BJ100" i="24"/>
  <c r="BI100" i="24"/>
  <c r="BJ36" i="24"/>
  <c r="BI36" i="24"/>
  <c r="BJ54" i="24"/>
  <c r="BI54" i="24"/>
  <c r="BJ92" i="24"/>
  <c r="BI92" i="24"/>
  <c r="BJ72" i="24"/>
  <c r="BI72" i="24"/>
  <c r="BJ85" i="24"/>
  <c r="BI85" i="24"/>
  <c r="BJ42" i="24"/>
  <c r="BI42" i="24"/>
  <c r="BJ82" i="24"/>
  <c r="BI82" i="24"/>
  <c r="BJ74" i="24"/>
  <c r="BI74" i="24"/>
  <c r="BJ68" i="24"/>
  <c r="BI68" i="24"/>
  <c r="BJ59" i="24"/>
  <c r="BI59" i="24"/>
  <c r="BJ96" i="24"/>
  <c r="BI96" i="24"/>
  <c r="BJ83" i="24"/>
  <c r="BI83" i="24"/>
  <c r="BJ28" i="24"/>
  <c r="BI28" i="24"/>
  <c r="BJ89" i="24"/>
  <c r="BI89" i="24"/>
  <c r="BJ21" i="24"/>
  <c r="BI21" i="24"/>
  <c r="BJ46" i="24"/>
  <c r="BI46" i="24"/>
  <c r="BJ79" i="24"/>
  <c r="BI79" i="24"/>
  <c r="BJ19" i="24"/>
  <c r="BI19" i="24"/>
  <c r="BJ31" i="24"/>
  <c r="BI31" i="24"/>
  <c r="AQ18" i="24"/>
  <c r="BJ18" i="24"/>
  <c r="AS53" i="24"/>
  <c r="AW53" i="24" s="1"/>
  <c r="AY53" i="24" s="1"/>
  <c r="AZ53" i="24" s="1"/>
  <c r="BJ53" i="24"/>
  <c r="AS18" i="24"/>
  <c r="AQ53" i="24"/>
  <c r="AQ100" i="24"/>
  <c r="AS100" i="24"/>
  <c r="AQ36" i="24"/>
  <c r="AS36" i="24"/>
  <c r="AQ257" i="24"/>
  <c r="AS257" i="24"/>
  <c r="AQ304" i="24"/>
  <c r="AS304" i="24"/>
  <c r="AQ249" i="24"/>
  <c r="AS249" i="24"/>
  <c r="AQ310" i="24"/>
  <c r="AS310" i="24"/>
  <c r="AQ288" i="24"/>
  <c r="AS288" i="24"/>
  <c r="AQ248" i="24"/>
  <c r="AS248" i="24"/>
  <c r="AQ247" i="24"/>
  <c r="AS247" i="24"/>
  <c r="AQ245" i="24"/>
  <c r="AS245" i="24"/>
  <c r="AQ126" i="24"/>
  <c r="AS126" i="24"/>
  <c r="AQ164" i="24"/>
  <c r="AS164" i="24"/>
  <c r="AQ142" i="24"/>
  <c r="AS142" i="24"/>
  <c r="AQ135" i="24"/>
  <c r="AS135" i="24"/>
  <c r="AQ137" i="24"/>
  <c r="AS137" i="24"/>
  <c r="AQ179" i="24"/>
  <c r="AS179" i="24"/>
  <c r="AQ85" i="24"/>
  <c r="AS85" i="24"/>
  <c r="AQ42" i="24"/>
  <c r="AS42" i="24"/>
  <c r="AQ230" i="24"/>
  <c r="AS230" i="24"/>
  <c r="AQ280" i="24"/>
  <c r="AS280" i="24"/>
  <c r="AQ240" i="24"/>
  <c r="AS240" i="24"/>
  <c r="AQ276" i="24"/>
  <c r="AS276" i="24"/>
  <c r="AQ219" i="24"/>
  <c r="AS219" i="24"/>
  <c r="AQ271" i="24"/>
  <c r="AS271" i="24"/>
  <c r="AQ282" i="24"/>
  <c r="AS282" i="24"/>
  <c r="AQ220" i="24"/>
  <c r="AS220" i="24"/>
  <c r="AQ243" i="24"/>
  <c r="AS243" i="24"/>
  <c r="AQ275" i="24"/>
  <c r="AS275" i="24"/>
  <c r="AQ270" i="24"/>
  <c r="AS270" i="24"/>
  <c r="AQ235" i="24"/>
  <c r="AS235" i="24"/>
  <c r="AQ221" i="24"/>
  <c r="AS221" i="24"/>
  <c r="AQ59" i="24"/>
  <c r="AS59" i="24"/>
  <c r="AQ96" i="24"/>
  <c r="AS96" i="24"/>
  <c r="AQ173" i="24"/>
  <c r="AS173" i="24"/>
  <c r="AQ120" i="24"/>
  <c r="AS120" i="24"/>
  <c r="AQ138" i="24"/>
  <c r="AS138" i="24"/>
  <c r="AQ127" i="24"/>
  <c r="AS127" i="24"/>
  <c r="AQ178" i="24"/>
  <c r="AS178" i="24"/>
  <c r="AQ28" i="24"/>
  <c r="AS28" i="24"/>
  <c r="AQ89" i="24"/>
  <c r="AS89" i="24"/>
  <c r="AQ21" i="24"/>
  <c r="AS21" i="24"/>
  <c r="AQ268" i="24"/>
  <c r="AS268" i="24"/>
  <c r="AQ254" i="24"/>
  <c r="AS254" i="24"/>
  <c r="AQ299" i="24"/>
  <c r="AS299" i="24"/>
  <c r="AQ293" i="24"/>
  <c r="AS293" i="24"/>
  <c r="AQ251" i="24"/>
  <c r="AS251" i="24"/>
  <c r="AQ294" i="24"/>
  <c r="AS294" i="24"/>
  <c r="AQ229" i="24"/>
  <c r="AS229" i="24"/>
  <c r="AQ252" i="24"/>
  <c r="AS252" i="24"/>
  <c r="AQ273" i="24"/>
  <c r="AS273" i="24"/>
  <c r="AQ244" i="24"/>
  <c r="AS244" i="24"/>
  <c r="AQ253" i="24"/>
  <c r="AS253" i="24"/>
  <c r="AQ259" i="24"/>
  <c r="AS259" i="24"/>
  <c r="AQ279" i="24"/>
  <c r="AS279" i="24"/>
  <c r="AQ274" i="24"/>
  <c r="AS274" i="24"/>
  <c r="AQ267" i="24"/>
  <c r="AS267" i="24"/>
  <c r="AQ246" i="24"/>
  <c r="AS246" i="24"/>
  <c r="AQ223" i="24"/>
  <c r="AS223" i="24"/>
  <c r="AQ216" i="24"/>
  <c r="AS216" i="24"/>
  <c r="AQ222" i="24"/>
  <c r="AS222" i="24"/>
  <c r="AQ46" i="24"/>
  <c r="AS46" i="24"/>
  <c r="AQ139" i="24"/>
  <c r="AS139" i="24"/>
  <c r="AQ148" i="24"/>
  <c r="AS148" i="24"/>
  <c r="AQ300" i="24"/>
  <c r="AS300" i="24"/>
  <c r="AQ79" i="24"/>
  <c r="AS79" i="24"/>
  <c r="AQ171" i="24"/>
  <c r="AS171" i="24"/>
  <c r="AQ145" i="24"/>
  <c r="AS145" i="24"/>
  <c r="AQ19" i="24"/>
  <c r="AS19" i="24"/>
  <c r="AQ31" i="24"/>
  <c r="AS31" i="24"/>
  <c r="AQ283" i="24"/>
  <c r="AS283" i="24"/>
  <c r="AQ301" i="24"/>
  <c r="AS301" i="24"/>
  <c r="AQ314" i="24"/>
  <c r="AS314" i="24"/>
  <c r="AQ261" i="24"/>
  <c r="AS261" i="24"/>
  <c r="AQ297" i="24"/>
  <c r="AS297" i="24"/>
  <c r="AQ302" i="24"/>
  <c r="AS302" i="24"/>
  <c r="AQ54" i="24"/>
  <c r="AS54" i="24"/>
  <c r="AQ92" i="24"/>
  <c r="AS92" i="24"/>
  <c r="AQ140" i="24"/>
  <c r="AS140" i="24"/>
  <c r="AQ125" i="24"/>
  <c r="AS125" i="24"/>
  <c r="AQ111" i="24"/>
  <c r="AS111" i="24"/>
  <c r="AQ72" i="24"/>
  <c r="AS72" i="24"/>
  <c r="AQ143" i="24"/>
  <c r="AS143" i="24"/>
  <c r="AQ175" i="24"/>
  <c r="AS175" i="24"/>
  <c r="AQ154" i="24"/>
  <c r="AS154" i="24"/>
  <c r="AQ290" i="24"/>
  <c r="AS290" i="24"/>
  <c r="AQ303" i="24"/>
  <c r="AS303" i="24"/>
  <c r="AQ286" i="24"/>
  <c r="AS286" i="24"/>
  <c r="AQ218" i="24"/>
  <c r="AS218" i="24"/>
  <c r="AQ228" i="24"/>
  <c r="AS228" i="24"/>
  <c r="AQ258" i="24"/>
  <c r="AS258" i="24"/>
  <c r="AQ285" i="24"/>
  <c r="AS285" i="24"/>
  <c r="AQ316" i="24"/>
  <c r="AS316" i="24"/>
  <c r="AQ82" i="24"/>
  <c r="AS82" i="24"/>
  <c r="AQ74" i="24"/>
  <c r="AS74" i="24"/>
  <c r="AQ68" i="24"/>
  <c r="AS68" i="24"/>
  <c r="AQ160" i="24"/>
  <c r="AS160" i="24"/>
  <c r="AQ121" i="24"/>
  <c r="AS121" i="24"/>
  <c r="AQ118" i="24"/>
  <c r="AS118" i="24"/>
  <c r="AQ113" i="24"/>
  <c r="AS113" i="24"/>
  <c r="AQ124" i="24"/>
  <c r="AS124" i="24"/>
  <c r="AQ144" i="24"/>
  <c r="AS144" i="24"/>
  <c r="AQ83" i="24"/>
  <c r="AS83" i="24"/>
  <c r="AQ56" i="24"/>
  <c r="AS56" i="24"/>
  <c r="AQ272" i="24"/>
  <c r="AS272" i="24"/>
  <c r="AQ277" i="24"/>
  <c r="AS277" i="24"/>
  <c r="AQ281" i="24"/>
  <c r="AS281" i="24"/>
  <c r="AQ239" i="24"/>
  <c r="AS239" i="24"/>
  <c r="AQ309" i="24"/>
  <c r="AS309" i="24"/>
  <c r="AQ234" i="24"/>
  <c r="AS234" i="24"/>
  <c r="AQ241" i="24"/>
  <c r="AS241" i="24"/>
  <c r="AQ227" i="24"/>
  <c r="AS227" i="24"/>
  <c r="AQ298" i="24"/>
  <c r="AS298" i="24"/>
  <c r="AQ287" i="24"/>
  <c r="AS287" i="24"/>
  <c r="AQ233" i="24"/>
  <c r="AS233" i="24"/>
  <c r="AQ256" i="24"/>
  <c r="AS256" i="24"/>
  <c r="AQ236" i="24"/>
  <c r="AS236" i="24"/>
  <c r="AQ266" i="24"/>
  <c r="AS266" i="24"/>
  <c r="AQ313" i="24"/>
  <c r="AS313" i="24"/>
  <c r="AQ307" i="24"/>
  <c r="AS307" i="24"/>
  <c r="AQ250" i="24"/>
  <c r="AS250" i="24"/>
  <c r="AQ264" i="24"/>
  <c r="AS264" i="24"/>
  <c r="AQ224" i="24"/>
  <c r="AS224" i="24"/>
  <c r="AQ315" i="24"/>
  <c r="AS315" i="24"/>
  <c r="AQ63" i="24"/>
  <c r="AS63" i="24"/>
  <c r="AQ292" i="24"/>
  <c r="AS292" i="24"/>
  <c r="AQ158" i="24"/>
  <c r="AS158" i="24"/>
  <c r="AQ153" i="24"/>
  <c r="AS153" i="24"/>
  <c r="AQ129" i="24"/>
  <c r="AS129" i="24"/>
  <c r="AQ116" i="24"/>
  <c r="AS116" i="24"/>
  <c r="AQ177" i="24"/>
  <c r="AS177" i="24"/>
  <c r="AQ151" i="24"/>
  <c r="AS151" i="24"/>
  <c r="AQ180" i="24"/>
  <c r="AS180" i="24"/>
  <c r="AQ29" i="24"/>
  <c r="AS29" i="24"/>
  <c r="AQ284" i="24" l="1"/>
  <c r="CB284" i="24"/>
  <c r="BH110" i="25"/>
  <c r="BG110" i="25"/>
  <c r="BS110" i="25"/>
  <c r="BF110" i="25"/>
  <c r="AX172" i="24"/>
  <c r="AX123" i="24"/>
  <c r="BS115" i="24"/>
  <c r="AX181" i="24"/>
  <c r="BS155" i="24"/>
  <c r="AX195" i="24"/>
  <c r="BS157" i="24"/>
  <c r="AX208" i="24"/>
  <c r="BT210" i="24"/>
  <c r="BT195" i="24"/>
  <c r="AX157" i="24"/>
  <c r="AX115" i="24"/>
  <c r="BT122" i="24"/>
  <c r="BS123" i="24"/>
  <c r="BH181" i="24"/>
  <c r="BS210" i="24"/>
  <c r="BH208" i="24"/>
  <c r="AQ136" i="24"/>
  <c r="BI136" i="24"/>
  <c r="BJ136" i="24"/>
  <c r="CB196" i="24"/>
  <c r="BJ196" i="24"/>
  <c r="BI196" i="24"/>
  <c r="BH196" i="24"/>
  <c r="BT196" i="24"/>
  <c r="BS196" i="24"/>
  <c r="AX196" i="24"/>
  <c r="CB204" i="24"/>
  <c r="BJ204" i="24"/>
  <c r="BI204" i="24"/>
  <c r="BH204" i="24"/>
  <c r="BS204" i="24"/>
  <c r="BT204" i="24"/>
  <c r="AX204" i="24"/>
  <c r="CB198" i="24"/>
  <c r="BI198" i="24"/>
  <c r="BJ198" i="24"/>
  <c r="BT198" i="24"/>
  <c r="BS198" i="24"/>
  <c r="BH198" i="24"/>
  <c r="AX198" i="24"/>
  <c r="CB170" i="24"/>
  <c r="BI170" i="24"/>
  <c r="BJ170" i="24"/>
  <c r="BT170" i="24"/>
  <c r="BS170" i="24"/>
  <c r="BH170" i="24"/>
  <c r="AX170" i="24"/>
  <c r="CB189" i="24"/>
  <c r="BI189" i="24"/>
  <c r="BJ189" i="24"/>
  <c r="AX189" i="24"/>
  <c r="BT189" i="24"/>
  <c r="BS189" i="24"/>
  <c r="BH189" i="24"/>
  <c r="CB132" i="24"/>
  <c r="BJ132" i="24"/>
  <c r="BI132" i="24"/>
  <c r="BS132" i="24"/>
  <c r="BT132" i="24"/>
  <c r="BH132" i="24"/>
  <c r="AX132" i="24"/>
  <c r="BS136" i="24"/>
  <c r="BH136" i="24"/>
  <c r="CB163" i="24"/>
  <c r="BJ163" i="24"/>
  <c r="BI163" i="24"/>
  <c r="BS163" i="24"/>
  <c r="BT163" i="24"/>
  <c r="AX163" i="24"/>
  <c r="BH163" i="24"/>
  <c r="CB131" i="24"/>
  <c r="BI131" i="24"/>
  <c r="BJ131" i="24"/>
  <c r="BS131" i="24"/>
  <c r="BT131" i="24"/>
  <c r="AX131" i="24"/>
  <c r="BH131" i="24"/>
  <c r="CB186" i="24"/>
  <c r="BI186" i="24"/>
  <c r="BJ186" i="24"/>
  <c r="BT186" i="24"/>
  <c r="BS186" i="24"/>
  <c r="BH186" i="24"/>
  <c r="AX186" i="24"/>
  <c r="CB112" i="24"/>
  <c r="BI112" i="24"/>
  <c r="BJ112" i="24"/>
  <c r="AQ184" i="24"/>
  <c r="BI184" i="24"/>
  <c r="BJ184" i="24"/>
  <c r="BT184" i="24"/>
  <c r="BS184" i="24"/>
  <c r="BH184" i="24"/>
  <c r="AX184" i="24"/>
  <c r="CB174" i="24"/>
  <c r="BI174" i="24"/>
  <c r="BJ174" i="24"/>
  <c r="BS174" i="24"/>
  <c r="AX174" i="24"/>
  <c r="BT174" i="24"/>
  <c r="BH174" i="24"/>
  <c r="CB156" i="24"/>
  <c r="BI156" i="24"/>
  <c r="BJ156" i="24"/>
  <c r="BS156" i="24"/>
  <c r="BT156" i="24"/>
  <c r="BH156" i="24"/>
  <c r="AX156" i="24"/>
  <c r="CB117" i="24"/>
  <c r="BI117" i="24"/>
  <c r="BJ117" i="24"/>
  <c r="AX117" i="24"/>
  <c r="BS117" i="24"/>
  <c r="BH117" i="24"/>
  <c r="BT117" i="24"/>
  <c r="CB176" i="24"/>
  <c r="BI176" i="24"/>
  <c r="BJ176" i="24"/>
  <c r="BH176" i="24"/>
  <c r="BS176" i="24"/>
  <c r="BT176" i="24"/>
  <c r="AX176" i="24"/>
  <c r="AQ114" i="24"/>
  <c r="BI114" i="24"/>
  <c r="BJ114" i="24"/>
  <c r="BT114" i="24"/>
  <c r="AX114" i="24"/>
  <c r="BH114" i="24"/>
  <c r="BS114" i="24"/>
  <c r="CB130" i="24"/>
  <c r="BI130" i="24"/>
  <c r="BJ130" i="24"/>
  <c r="AX130" i="24"/>
  <c r="BT130" i="24"/>
  <c r="BH130" i="24"/>
  <c r="BS130" i="24"/>
  <c r="AS167" i="24"/>
  <c r="AU167" i="24" s="1"/>
  <c r="BI167" i="24"/>
  <c r="BJ167" i="24"/>
  <c r="BT167" i="24"/>
  <c r="BH167" i="24"/>
  <c r="BS167" i="24"/>
  <c r="AX167" i="24"/>
  <c r="CB159" i="24"/>
  <c r="BJ159" i="24"/>
  <c r="BI159" i="24"/>
  <c r="BS159" i="24"/>
  <c r="BT159" i="24"/>
  <c r="BH159" i="24"/>
  <c r="AX159" i="24"/>
  <c r="BI146" i="24"/>
  <c r="BJ146" i="24"/>
  <c r="BT146" i="24"/>
  <c r="AX146" i="24"/>
  <c r="BH146" i="24"/>
  <c r="BS146" i="24"/>
  <c r="CB128" i="24"/>
  <c r="BI128" i="24"/>
  <c r="BJ128" i="24"/>
  <c r="BT128" i="24"/>
  <c r="BS128" i="24"/>
  <c r="BH128" i="24"/>
  <c r="AX128" i="24"/>
  <c r="CB152" i="24"/>
  <c r="BJ152" i="24"/>
  <c r="BI152" i="24"/>
  <c r="BT152" i="24"/>
  <c r="BH152" i="24"/>
  <c r="BS152" i="24"/>
  <c r="AX152" i="24"/>
  <c r="CB165" i="24"/>
  <c r="BJ165" i="24"/>
  <c r="BI165" i="24"/>
  <c r="BS165" i="24"/>
  <c r="AX165" i="24"/>
  <c r="BT165" i="24"/>
  <c r="BH165" i="24"/>
  <c r="BT136" i="24"/>
  <c r="AS165" i="24"/>
  <c r="AU165" i="24" s="1"/>
  <c r="BI110" i="24"/>
  <c r="BJ110" i="24"/>
  <c r="BS110" i="24"/>
  <c r="AX110" i="24"/>
  <c r="BT110" i="24"/>
  <c r="BH110" i="24"/>
  <c r="CB123" i="24"/>
  <c r="BI123" i="24"/>
  <c r="BJ123" i="24"/>
  <c r="CB194" i="24"/>
  <c r="BI194" i="24"/>
  <c r="BJ194" i="24"/>
  <c r="BS194" i="24"/>
  <c r="BT194" i="24"/>
  <c r="BH194" i="24"/>
  <c r="AX194" i="24"/>
  <c r="BI169" i="24"/>
  <c r="BJ169" i="24"/>
  <c r="CB207" i="24"/>
  <c r="BI207" i="24"/>
  <c r="BJ207" i="24"/>
  <c r="CB172" i="24"/>
  <c r="BJ172" i="24"/>
  <c r="BI172" i="24"/>
  <c r="CB192" i="24"/>
  <c r="BI192" i="24"/>
  <c r="BJ192" i="24"/>
  <c r="BT192" i="24"/>
  <c r="AX192" i="24"/>
  <c r="BH192" i="24"/>
  <c r="BS192" i="24"/>
  <c r="CB199" i="24"/>
  <c r="BI199" i="24"/>
  <c r="BJ199" i="24"/>
  <c r="BS199" i="24"/>
  <c r="BH199" i="24"/>
  <c r="BT199" i="24"/>
  <c r="AX199" i="24"/>
  <c r="CB157" i="24"/>
  <c r="BJ157" i="24"/>
  <c r="BI157" i="24"/>
  <c r="CB141" i="24"/>
  <c r="BI141" i="24"/>
  <c r="BJ141" i="24"/>
  <c r="AX141" i="24"/>
  <c r="BS141" i="24"/>
  <c r="BT141" i="24"/>
  <c r="BH141" i="24"/>
  <c r="CB188" i="24"/>
  <c r="BJ188" i="24"/>
  <c r="BI188" i="24"/>
  <c r="BH188" i="24"/>
  <c r="BS188" i="24"/>
  <c r="BT188" i="24"/>
  <c r="AX188" i="24"/>
  <c r="CB209" i="24"/>
  <c r="BI209" i="24"/>
  <c r="BJ209" i="24"/>
  <c r="BH209" i="24"/>
  <c r="BS209" i="24"/>
  <c r="BT209" i="24"/>
  <c r="AX209" i="24"/>
  <c r="AS133" i="24"/>
  <c r="AU133" i="24" s="1"/>
  <c r="BI133" i="24"/>
  <c r="BJ133" i="24"/>
  <c r="AX133" i="24"/>
  <c r="BS133" i="24"/>
  <c r="BH133" i="24"/>
  <c r="BT133" i="24"/>
  <c r="CB206" i="24"/>
  <c r="BI206" i="24"/>
  <c r="BJ206" i="24"/>
  <c r="BT206" i="24"/>
  <c r="BS206" i="24"/>
  <c r="AX206" i="24"/>
  <c r="BH206" i="24"/>
  <c r="AS166" i="24"/>
  <c r="AU166" i="24" s="1"/>
  <c r="BI166" i="24"/>
  <c r="BJ166" i="24"/>
  <c r="BS166" i="24"/>
  <c r="BH166" i="24"/>
  <c r="BT166" i="24"/>
  <c r="AX166" i="24"/>
  <c r="AQ191" i="24"/>
  <c r="BI191" i="24"/>
  <c r="BJ191" i="24"/>
  <c r="BS191" i="24"/>
  <c r="BT191" i="24"/>
  <c r="BH191" i="24"/>
  <c r="AX191" i="24"/>
  <c r="AX207" i="24"/>
  <c r="BT112" i="24"/>
  <c r="BH112" i="24"/>
  <c r="BT172" i="24"/>
  <c r="BH169" i="24"/>
  <c r="BS169" i="24"/>
  <c r="CB134" i="24"/>
  <c r="BJ134" i="24"/>
  <c r="BI134" i="24"/>
  <c r="BS134" i="24"/>
  <c r="BH134" i="24"/>
  <c r="AX134" i="24"/>
  <c r="BT134" i="24"/>
  <c r="AQ161" i="24"/>
  <c r="BJ161" i="24"/>
  <c r="BI161" i="24"/>
  <c r="AX161" i="24"/>
  <c r="BS161" i="24"/>
  <c r="BH161" i="24"/>
  <c r="BT161" i="24"/>
  <c r="BI168" i="24"/>
  <c r="BJ168" i="24"/>
  <c r="BH168" i="24"/>
  <c r="BS168" i="24"/>
  <c r="BT168" i="24"/>
  <c r="AX168" i="24"/>
  <c r="CB147" i="24"/>
  <c r="BJ147" i="24"/>
  <c r="BI147" i="24"/>
  <c r="BS147" i="24"/>
  <c r="BT147" i="24"/>
  <c r="AX147" i="24"/>
  <c r="BH147" i="24"/>
  <c r="CB182" i="24"/>
  <c r="BI182" i="24"/>
  <c r="BJ182" i="24"/>
  <c r="BS182" i="24"/>
  <c r="BT182" i="24"/>
  <c r="AX182" i="24"/>
  <c r="BH182" i="24"/>
  <c r="BJ155" i="24"/>
  <c r="BI155" i="24"/>
  <c r="CB149" i="24"/>
  <c r="BJ149" i="24"/>
  <c r="BI149" i="24"/>
  <c r="BS149" i="24"/>
  <c r="AX149" i="24"/>
  <c r="BT149" i="24"/>
  <c r="BH149" i="24"/>
  <c r="AS115" i="24"/>
  <c r="AU115" i="24" s="1"/>
  <c r="BI115" i="24"/>
  <c r="BJ115" i="24"/>
  <c r="CB210" i="24"/>
  <c r="BI210" i="24"/>
  <c r="BJ210" i="24"/>
  <c r="BI203" i="24"/>
  <c r="BJ203" i="24"/>
  <c r="BT203" i="24"/>
  <c r="BH203" i="24"/>
  <c r="BS203" i="24"/>
  <c r="AX203" i="24"/>
  <c r="CB205" i="24"/>
  <c r="BI205" i="24"/>
  <c r="BJ205" i="24"/>
  <c r="AX205" i="24"/>
  <c r="BS205" i="24"/>
  <c r="BT205" i="24"/>
  <c r="BH205" i="24"/>
  <c r="BI181" i="24"/>
  <c r="BJ181" i="24"/>
  <c r="AQ208" i="24"/>
  <c r="BI208" i="24"/>
  <c r="BJ208" i="24"/>
  <c r="CB119" i="24"/>
  <c r="BI119" i="24"/>
  <c r="BJ119" i="24"/>
  <c r="BS119" i="24"/>
  <c r="AX119" i="24"/>
  <c r="BT119" i="24"/>
  <c r="BH119" i="24"/>
  <c r="AQ162" i="24"/>
  <c r="BI162" i="24"/>
  <c r="BJ162" i="24"/>
  <c r="BT162" i="24"/>
  <c r="BH162" i="24"/>
  <c r="AX162" i="24"/>
  <c r="BS162" i="24"/>
  <c r="CB195" i="24"/>
  <c r="BI195" i="24"/>
  <c r="BJ195" i="24"/>
  <c r="CB150" i="24"/>
  <c r="BI150" i="24"/>
  <c r="BJ150" i="24"/>
  <c r="BS150" i="24"/>
  <c r="BH150" i="24"/>
  <c r="BT150" i="24"/>
  <c r="AX150" i="24"/>
  <c r="AS122" i="24"/>
  <c r="AW122" i="24" s="1"/>
  <c r="BI122" i="24"/>
  <c r="BJ122" i="24"/>
  <c r="CB193" i="24"/>
  <c r="BI193" i="24"/>
  <c r="BJ193" i="24"/>
  <c r="AX193" i="24"/>
  <c r="BT193" i="24"/>
  <c r="BH193" i="24"/>
  <c r="BS193" i="24"/>
  <c r="BH207" i="24"/>
  <c r="BS207" i="24"/>
  <c r="BH210" i="24"/>
  <c r="AX155" i="24"/>
  <c r="BT155" i="24"/>
  <c r="AX112" i="24"/>
  <c r="BS112" i="24"/>
  <c r="BS195" i="24"/>
  <c r="BH157" i="24"/>
  <c r="BH115" i="24"/>
  <c r="BS172" i="24"/>
  <c r="AX122" i="24"/>
  <c r="BH122" i="24"/>
  <c r="BH123" i="24"/>
  <c r="BS208" i="24"/>
  <c r="BT181" i="24"/>
  <c r="BT169" i="24"/>
  <c r="AX136" i="24"/>
  <c r="AQ152" i="24"/>
  <c r="BT55" i="24"/>
  <c r="AV7" i="24"/>
  <c r="AX50" i="24"/>
  <c r="BT50" i="24"/>
  <c r="AX87" i="24"/>
  <c r="BT87" i="24"/>
  <c r="AV48" i="24"/>
  <c r="AV81" i="24"/>
  <c r="BT81" i="24"/>
  <c r="BH70" i="24"/>
  <c r="BT70" i="24"/>
  <c r="AS152" i="24"/>
  <c r="AW152" i="24" s="1"/>
  <c r="AV20" i="24"/>
  <c r="AX91" i="24"/>
  <c r="BT91" i="24"/>
  <c r="BH27" i="24"/>
  <c r="BT27" i="24"/>
  <c r="AX105" i="24"/>
  <c r="BT105" i="24"/>
  <c r="BS101" i="24"/>
  <c r="BT101" i="24"/>
  <c r="AV38" i="24"/>
  <c r="AV62" i="24"/>
  <c r="AV39" i="24"/>
  <c r="AV77" i="24"/>
  <c r="AV76" i="24"/>
  <c r="BT97" i="24"/>
  <c r="BT43" i="24"/>
  <c r="BT64" i="24"/>
  <c r="BT33" i="24"/>
  <c r="AX86" i="24"/>
  <c r="BT86" i="24"/>
  <c r="BS14" i="24"/>
  <c r="BT14" i="24"/>
  <c r="AV57" i="24"/>
  <c r="AV90" i="24"/>
  <c r="AV44" i="24"/>
  <c r="AV84" i="24"/>
  <c r="AV93" i="24"/>
  <c r="AT103" i="24"/>
  <c r="BA103" i="24" s="1"/>
  <c r="BT34" i="24"/>
  <c r="AV22" i="24"/>
  <c r="BT22" i="24"/>
  <c r="AX69" i="24"/>
  <c r="BT69" i="24"/>
  <c r="AX23" i="24"/>
  <c r="BT23" i="24"/>
  <c r="AX95" i="24"/>
  <c r="BT95" i="24"/>
  <c r="AT52" i="24"/>
  <c r="BA52" i="24" s="1"/>
  <c r="AV45" i="24"/>
  <c r="AV80" i="24"/>
  <c r="AV71" i="24"/>
  <c r="BH10" i="24"/>
  <c r="BT10" i="24"/>
  <c r="AT66" i="24"/>
  <c r="BA66" i="24" s="1"/>
  <c r="AT67" i="24"/>
  <c r="BA67" i="24" s="1"/>
  <c r="AX25" i="24"/>
  <c r="BT25" i="24"/>
  <c r="AV98" i="24"/>
  <c r="AV75" i="24"/>
  <c r="AX78" i="24"/>
  <c r="BT78" i="24"/>
  <c r="BT35" i="24"/>
  <c r="BT41" i="24"/>
  <c r="BT65" i="24"/>
  <c r="AU58" i="25"/>
  <c r="BC58" i="25" s="1"/>
  <c r="BR58" i="25" s="1"/>
  <c r="AQ193" i="24"/>
  <c r="AS278" i="24"/>
  <c r="AW278" i="24" s="1"/>
  <c r="BH78" i="24"/>
  <c r="AQ278" i="24"/>
  <c r="AQ182" i="24"/>
  <c r="AV103" i="24"/>
  <c r="BI78" i="24"/>
  <c r="BS78" i="24"/>
  <c r="AS182" i="24"/>
  <c r="AU182" i="24" s="1"/>
  <c r="AS78" i="24"/>
  <c r="AW78" i="24" s="1"/>
  <c r="AY78" i="24" s="1"/>
  <c r="AS305" i="24"/>
  <c r="AU305" i="24" s="1"/>
  <c r="AQ70" i="24"/>
  <c r="BI70" i="24"/>
  <c r="BJ70" i="24"/>
  <c r="BS70" i="24"/>
  <c r="AX70" i="24"/>
  <c r="AS70" i="24"/>
  <c r="AW70" i="24" s="1"/>
  <c r="AY70" i="24" s="1"/>
  <c r="AS193" i="24"/>
  <c r="AU193" i="24" s="1"/>
  <c r="AQ78" i="24"/>
  <c r="BJ78" i="24"/>
  <c r="AQ237" i="24"/>
  <c r="AS203" i="24"/>
  <c r="AU203" i="24" s="1"/>
  <c r="CB203" i="24"/>
  <c r="AQ155" i="24"/>
  <c r="CB155" i="24"/>
  <c r="BH51" i="24"/>
  <c r="CB51" i="24"/>
  <c r="AQ128" i="24"/>
  <c r="AX73" i="24"/>
  <c r="CB73" i="24"/>
  <c r="AQ168" i="24"/>
  <c r="CB168" i="24"/>
  <c r="AQ146" i="24"/>
  <c r="CB146" i="24"/>
  <c r="AS260" i="24"/>
  <c r="AU260" i="24" s="1"/>
  <c r="CB260" i="24"/>
  <c r="AS289" i="24"/>
  <c r="AU289" i="24" s="1"/>
  <c r="CB289" i="24"/>
  <c r="AX60" i="24"/>
  <c r="CB60" i="24"/>
  <c r="AS238" i="24"/>
  <c r="AU238" i="24" s="1"/>
  <c r="AS128" i="24"/>
  <c r="AW128" i="24" s="1"/>
  <c r="AS132" i="24"/>
  <c r="AW132" i="24" s="1"/>
  <c r="AQ132" i="24"/>
  <c r="AS191" i="24"/>
  <c r="AU191" i="24" s="1"/>
  <c r="BS25" i="24"/>
  <c r="AT75" i="24"/>
  <c r="BA75" i="24" s="1"/>
  <c r="AQ25" i="24"/>
  <c r="AS73" i="24"/>
  <c r="AU73" i="24" s="1"/>
  <c r="BB73" i="24" s="1"/>
  <c r="AQ265" i="24"/>
  <c r="AS311" i="24"/>
  <c r="AU311" i="24" s="1"/>
  <c r="AS217" i="24"/>
  <c r="AW217" i="24" s="1"/>
  <c r="AT76" i="24"/>
  <c r="BA76" i="24" s="1"/>
  <c r="AS255" i="24"/>
  <c r="AW255" i="24" s="1"/>
  <c r="AQ166" i="24"/>
  <c r="AQ262" i="24"/>
  <c r="BH55" i="24"/>
  <c r="AS159" i="24"/>
  <c r="AU159" i="24" s="1"/>
  <c r="BS73" i="24"/>
  <c r="AQ117" i="24"/>
  <c r="AS312" i="24"/>
  <c r="AU312" i="24" s="1"/>
  <c r="AS176" i="24"/>
  <c r="AU176" i="24" s="1"/>
  <c r="AS114" i="24"/>
  <c r="AU114" i="24" s="1"/>
  <c r="AS146" i="24"/>
  <c r="AW146" i="24" s="1"/>
  <c r="BJ55" i="24"/>
  <c r="AQ207" i="24"/>
  <c r="AQ133" i="24"/>
  <c r="AS189" i="24"/>
  <c r="AU189" i="24" s="1"/>
  <c r="AX81" i="24"/>
  <c r="AT81" i="24"/>
  <c r="BA81" i="24" s="1"/>
  <c r="AQ55" i="24"/>
  <c r="AQ291" i="24"/>
  <c r="AQ289" i="24"/>
  <c r="BI73" i="24"/>
  <c r="BJ25" i="24"/>
  <c r="AQ189" i="24"/>
  <c r="BH33" i="24"/>
  <c r="AQ255" i="24"/>
  <c r="BI33" i="24"/>
  <c r="AX55" i="24"/>
  <c r="AX22" i="24"/>
  <c r="AS33" i="24"/>
  <c r="AU33" i="24" s="1"/>
  <c r="BB33" i="24" s="1"/>
  <c r="AS291" i="24"/>
  <c r="AU291" i="24" s="1"/>
  <c r="BJ33" i="24"/>
  <c r="AS55" i="24"/>
  <c r="AW55" i="24" s="1"/>
  <c r="AY55" i="24" s="1"/>
  <c r="AQ33" i="24"/>
  <c r="BI55" i="24"/>
  <c r="BS33" i="24"/>
  <c r="AS181" i="24"/>
  <c r="AU181" i="24" s="1"/>
  <c r="CB181" i="24"/>
  <c r="AQ130" i="24"/>
  <c r="AQ122" i="24"/>
  <c r="AS295" i="24"/>
  <c r="AU295" i="24" s="1"/>
  <c r="AQ73" i="24"/>
  <c r="AS242" i="24"/>
  <c r="AU242" i="24" s="1"/>
  <c r="BH73" i="24"/>
  <c r="AQ306" i="24"/>
  <c r="CB306" i="24"/>
  <c r="AQ217" i="24"/>
  <c r="AQ167" i="24"/>
  <c r="AS147" i="24"/>
  <c r="AW147" i="24" s="1"/>
  <c r="BJ73" i="24"/>
  <c r="AV67" i="24"/>
  <c r="AT93" i="24"/>
  <c r="BA93" i="24" s="1"/>
  <c r="AQ147" i="24"/>
  <c r="AV66" i="24"/>
  <c r="AS168" i="24"/>
  <c r="AU168" i="24" s="1"/>
  <c r="AS170" i="24"/>
  <c r="AW170" i="24" s="1"/>
  <c r="AQ263" i="24"/>
  <c r="AQ269" i="24"/>
  <c r="AQ159" i="24"/>
  <c r="AQ176" i="24"/>
  <c r="AT98" i="24"/>
  <c r="BA98" i="24" s="1"/>
  <c r="BH25" i="24"/>
  <c r="AS25" i="24"/>
  <c r="AW25" i="24" s="1"/>
  <c r="AY25" i="24" s="1"/>
  <c r="AQ170" i="24"/>
  <c r="AS130" i="24"/>
  <c r="AU130" i="24" s="1"/>
  <c r="BI25" i="24"/>
  <c r="AT84" i="24"/>
  <c r="BA84" i="24" s="1"/>
  <c r="AT90" i="24"/>
  <c r="BA90" i="24" s="1"/>
  <c r="AT44" i="24"/>
  <c r="BA44" i="24" s="1"/>
  <c r="AS265" i="24"/>
  <c r="AU265" i="24" s="1"/>
  <c r="AS226" i="24"/>
  <c r="AW226" i="24" s="1"/>
  <c r="AQ296" i="24"/>
  <c r="AQ231" i="24"/>
  <c r="AS188" i="24"/>
  <c r="AU188" i="24" s="1"/>
  <c r="AT38" i="24"/>
  <c r="BA38" i="24" s="1"/>
  <c r="AT39" i="24"/>
  <c r="BA39" i="24" s="1"/>
  <c r="AQ206" i="24"/>
  <c r="AQ181" i="24"/>
  <c r="AS206" i="24"/>
  <c r="AU206" i="24" s="1"/>
  <c r="AQ209" i="24"/>
  <c r="AT62" i="24"/>
  <c r="BA62" i="24" s="1"/>
  <c r="AT77" i="24"/>
  <c r="BA77" i="24" s="1"/>
  <c r="BJ23" i="24"/>
  <c r="AS150" i="24"/>
  <c r="AW150" i="24" s="1"/>
  <c r="AQ150" i="24"/>
  <c r="AS308" i="24"/>
  <c r="AW308" i="24" s="1"/>
  <c r="AQ10" i="24"/>
  <c r="AQ198" i="24"/>
  <c r="AS232" i="24"/>
  <c r="AU232" i="24" s="1"/>
  <c r="BJ10" i="24"/>
  <c r="AS204" i="24"/>
  <c r="AW204" i="24" s="1"/>
  <c r="AS198" i="24"/>
  <c r="AW198" i="24" s="1"/>
  <c r="AS156" i="24"/>
  <c r="AU156" i="24" s="1"/>
  <c r="AS117" i="24"/>
  <c r="AW117" i="24" s="1"/>
  <c r="AS225" i="24"/>
  <c r="AU225" i="24" s="1"/>
  <c r="AS195" i="24"/>
  <c r="AU195" i="24" s="1"/>
  <c r="AS284" i="24"/>
  <c r="AU284" i="24" s="1"/>
  <c r="AS162" i="24"/>
  <c r="AW162" i="24" s="1"/>
  <c r="AQ186" i="24"/>
  <c r="AQ156" i="24"/>
  <c r="AQ195" i="24"/>
  <c r="AQ196" i="24"/>
  <c r="AQ204" i="24"/>
  <c r="AS174" i="24"/>
  <c r="AW174" i="24" s="1"/>
  <c r="AS306" i="24"/>
  <c r="AU306" i="24" s="1"/>
  <c r="AT48" i="24"/>
  <c r="BA48" i="24" s="1"/>
  <c r="AQ169" i="24"/>
  <c r="CB169" i="24"/>
  <c r="AT71" i="24"/>
  <c r="BA71" i="24" s="1"/>
  <c r="AS10" i="24"/>
  <c r="AW10" i="24" s="1"/>
  <c r="AY10" i="24" s="1"/>
  <c r="AQ97" i="24"/>
  <c r="BI10" i="24"/>
  <c r="BH23" i="24"/>
  <c r="AQ188" i="24"/>
  <c r="BS10" i="24"/>
  <c r="AX10" i="24"/>
  <c r="AQ141" i="24"/>
  <c r="AQ192" i="24"/>
  <c r="AS209" i="24"/>
  <c r="AU209" i="24" s="1"/>
  <c r="AU40" i="24"/>
  <c r="BB40" i="24" s="1"/>
  <c r="AT80" i="24"/>
  <c r="BA80" i="24" s="1"/>
  <c r="AK71" i="24"/>
  <c r="AQ205" i="24"/>
  <c r="AQ149" i="24"/>
  <c r="AQ210" i="24"/>
  <c r="BJ51" i="24"/>
  <c r="AQ174" i="24"/>
  <c r="AV52" i="24"/>
  <c r="AQ101" i="24"/>
  <c r="AS119" i="24"/>
  <c r="AU119" i="24" s="1"/>
  <c r="AT57" i="24"/>
  <c r="BA57" i="24" s="1"/>
  <c r="AQ112" i="24"/>
  <c r="AQ172" i="24"/>
  <c r="AQ95" i="24"/>
  <c r="AQ199" i="24"/>
  <c r="AQ105" i="24"/>
  <c r="AT45" i="24"/>
  <c r="BA45" i="24" s="1"/>
  <c r="BJ95" i="24"/>
  <c r="BS51" i="24"/>
  <c r="AQ51" i="24"/>
  <c r="BI14" i="24"/>
  <c r="AS184" i="24"/>
  <c r="AW184" i="24" s="1"/>
  <c r="AQ203" i="24"/>
  <c r="AS136" i="24"/>
  <c r="AU136" i="24" s="1"/>
  <c r="AS51" i="24"/>
  <c r="AU51" i="24" s="1"/>
  <c r="BB51" i="24" s="1"/>
  <c r="BI51" i="24"/>
  <c r="AS205" i="24"/>
  <c r="AW205" i="24" s="1"/>
  <c r="AQ119" i="24"/>
  <c r="BJ50" i="24"/>
  <c r="AS208" i="24"/>
  <c r="AU208" i="24" s="1"/>
  <c r="AX51" i="24"/>
  <c r="BS95" i="24"/>
  <c r="BH95" i="24"/>
  <c r="AS112" i="24"/>
  <c r="AU112" i="24" s="1"/>
  <c r="AS141" i="24"/>
  <c r="AU141" i="24" s="1"/>
  <c r="AS95" i="24"/>
  <c r="AW95" i="24" s="1"/>
  <c r="AY95" i="24" s="1"/>
  <c r="BI95" i="24"/>
  <c r="BI60" i="24"/>
  <c r="BH60" i="24"/>
  <c r="AS60" i="24"/>
  <c r="AW60" i="24" s="1"/>
  <c r="AY60" i="24" s="1"/>
  <c r="AQ60" i="24"/>
  <c r="AQ23" i="24"/>
  <c r="AS196" i="24"/>
  <c r="AW196" i="24" s="1"/>
  <c r="BS60" i="24"/>
  <c r="AS23" i="24"/>
  <c r="AU23" i="24" s="1"/>
  <c r="BB23" i="24" s="1"/>
  <c r="BJ60" i="24"/>
  <c r="BI23" i="24"/>
  <c r="BS23" i="24"/>
  <c r="BH101" i="24"/>
  <c r="AX101" i="24"/>
  <c r="BJ101" i="24"/>
  <c r="AS157" i="24"/>
  <c r="AW157" i="24" s="1"/>
  <c r="AS101" i="24"/>
  <c r="AW101" i="24" s="1"/>
  <c r="AY101" i="24" s="1"/>
  <c r="AQ157" i="24"/>
  <c r="AS131" i="24"/>
  <c r="AW131" i="24" s="1"/>
  <c r="BI101" i="24"/>
  <c r="AS186" i="24"/>
  <c r="AW186" i="24" s="1"/>
  <c r="AS199" i="24"/>
  <c r="AU199" i="24" s="1"/>
  <c r="AS192" i="24"/>
  <c r="AU192" i="24" s="1"/>
  <c r="BS105" i="24"/>
  <c r="AS110" i="24"/>
  <c r="AU110" i="24" s="1"/>
  <c r="CB110" i="24"/>
  <c r="AS105" i="24"/>
  <c r="AW105" i="24" s="1"/>
  <c r="AY105" i="24" s="1"/>
  <c r="BJ27" i="24"/>
  <c r="AX41" i="24"/>
  <c r="AS163" i="24"/>
  <c r="AW163" i="24" s="1"/>
  <c r="AS41" i="24"/>
  <c r="AW41" i="24" s="1"/>
  <c r="AY41" i="24" s="1"/>
  <c r="AX97" i="24"/>
  <c r="BI97" i="24"/>
  <c r="AW104" i="24"/>
  <c r="AY104" i="24" s="1"/>
  <c r="AZ104" i="24" s="1"/>
  <c r="AQ163" i="24"/>
  <c r="AS123" i="24"/>
  <c r="AU123" i="24" s="1"/>
  <c r="BI41" i="24"/>
  <c r="BJ105" i="24"/>
  <c r="BS97" i="24"/>
  <c r="AQ27" i="24"/>
  <c r="BJ41" i="24"/>
  <c r="BI105" i="24"/>
  <c r="BS41" i="24"/>
  <c r="BH105" i="24"/>
  <c r="BH97" i="24"/>
  <c r="AQ41" i="24"/>
  <c r="AS97" i="24"/>
  <c r="AU97" i="24" s="1"/>
  <c r="BB97" i="24" s="1"/>
  <c r="BJ97" i="24"/>
  <c r="AS149" i="24"/>
  <c r="AU149" i="24" s="1"/>
  <c r="AQ115" i="24"/>
  <c r="BJ87" i="24"/>
  <c r="AS210" i="24"/>
  <c r="AU210" i="24" s="1"/>
  <c r="BH14" i="24"/>
  <c r="AX14" i="24"/>
  <c r="BJ14" i="24"/>
  <c r="BS87" i="24"/>
  <c r="BH50" i="24"/>
  <c r="AQ50" i="24"/>
  <c r="AS161" i="24"/>
  <c r="AU161" i="24" s="1"/>
  <c r="AS14" i="24"/>
  <c r="AW14" i="24" s="1"/>
  <c r="AY14" i="24" s="1"/>
  <c r="AQ87" i="24"/>
  <c r="AQ14" i="24"/>
  <c r="AS172" i="24"/>
  <c r="AU172" i="24" s="1"/>
  <c r="AS155" i="24"/>
  <c r="AU155" i="24" s="1"/>
  <c r="AQ131" i="24"/>
  <c r="BH86" i="24"/>
  <c r="AK34" i="24"/>
  <c r="AQ65" i="24"/>
  <c r="BS65" i="24"/>
  <c r="AS207" i="24"/>
  <c r="AW207" i="24" s="1"/>
  <c r="BI64" i="24"/>
  <c r="BJ65" i="24"/>
  <c r="BH65" i="24"/>
  <c r="AQ86" i="24"/>
  <c r="AS64" i="24"/>
  <c r="AU64" i="24" s="1"/>
  <c r="BB64" i="24" s="1"/>
  <c r="BJ86" i="24"/>
  <c r="AK65" i="24"/>
  <c r="AS134" i="24"/>
  <c r="AU134" i="24" s="1"/>
  <c r="AS43" i="24"/>
  <c r="AU43" i="24" s="1"/>
  <c r="BB43" i="24" s="1"/>
  <c r="BI27" i="24"/>
  <c r="AS194" i="24"/>
  <c r="AU194" i="24" s="1"/>
  <c r="BS43" i="24"/>
  <c r="AX27" i="24"/>
  <c r="AN88" i="24"/>
  <c r="AS27" i="24"/>
  <c r="AU27" i="24" s="1"/>
  <c r="BB27" i="24" s="1"/>
  <c r="AS91" i="24"/>
  <c r="AW91" i="24" s="1"/>
  <c r="AY91" i="24" s="1"/>
  <c r="AS169" i="24"/>
  <c r="AU169" i="24" s="1"/>
  <c r="BI43" i="24"/>
  <c r="BI91" i="24"/>
  <c r="BH91" i="24"/>
  <c r="BS27" i="24"/>
  <c r="AS50" i="24"/>
  <c r="AW50" i="24" s="1"/>
  <c r="AY50" i="24" s="1"/>
  <c r="AS86" i="24"/>
  <c r="AU86" i="24" s="1"/>
  <c r="BB86" i="24" s="1"/>
  <c r="AQ64" i="24"/>
  <c r="BI87" i="24"/>
  <c r="BI86" i="24"/>
  <c r="AS65" i="24"/>
  <c r="AU65" i="24" s="1"/>
  <c r="BB65" i="24" s="1"/>
  <c r="BH87" i="24"/>
  <c r="BS86" i="24"/>
  <c r="AX65" i="24"/>
  <c r="AX64" i="24"/>
  <c r="AN71" i="24"/>
  <c r="BJ71" i="24" s="1"/>
  <c r="AS87" i="24"/>
  <c r="AW87" i="24" s="1"/>
  <c r="AY87" i="24" s="1"/>
  <c r="BJ64" i="24"/>
  <c r="BI50" i="24"/>
  <c r="BS64" i="24"/>
  <c r="BS50" i="24"/>
  <c r="AQ91" i="24"/>
  <c r="AQ134" i="24"/>
  <c r="AQ123" i="24"/>
  <c r="BJ91" i="24"/>
  <c r="BS91" i="24"/>
  <c r="AQ194" i="24"/>
  <c r="AN13" i="24"/>
  <c r="AS81" i="24"/>
  <c r="AS22" i="24"/>
  <c r="BJ69" i="24"/>
  <c r="AT20" i="24"/>
  <c r="BA20" i="24" s="1"/>
  <c r="AN49" i="24"/>
  <c r="BT49" i="24" s="1"/>
  <c r="AR110" i="25"/>
  <c r="AT110" i="25" s="1"/>
  <c r="AY110" i="25" s="1"/>
  <c r="CB110" i="25"/>
  <c r="AQ81" i="24"/>
  <c r="BJ43" i="24"/>
  <c r="AS69" i="24"/>
  <c r="AW69" i="24" s="1"/>
  <c r="AY69" i="24" s="1"/>
  <c r="BH22" i="24"/>
  <c r="BH43" i="24"/>
  <c r="AT7" i="24"/>
  <c r="BA7" i="24" s="1"/>
  <c r="AN15" i="24"/>
  <c r="AQ43" i="24"/>
  <c r="BI13" i="24"/>
  <c r="BI22" i="24"/>
  <c r="AS34" i="24"/>
  <c r="AW34" i="24" s="1"/>
  <c r="AY34" i="24" s="1"/>
  <c r="AZ34" i="24" s="1"/>
  <c r="AK81" i="24"/>
  <c r="BI81" i="24"/>
  <c r="AQ22" i="24"/>
  <c r="BI69" i="24"/>
  <c r="BS69" i="24"/>
  <c r="AT22" i="24"/>
  <c r="BA22" i="24" s="1"/>
  <c r="BJ81" i="24"/>
  <c r="BJ22" i="24"/>
  <c r="AQ69" i="24"/>
  <c r="BS22" i="24"/>
  <c r="BS81" i="24"/>
  <c r="BH69" i="24"/>
  <c r="BH81" i="24"/>
  <c r="AK22" i="24"/>
  <c r="AN48" i="24"/>
  <c r="BT48" i="24" s="1"/>
  <c r="AK48" i="24"/>
  <c r="AK102" i="24"/>
  <c r="AN102" i="24"/>
  <c r="CB102" i="24" s="1"/>
  <c r="AK93" i="24"/>
  <c r="AN93" i="24"/>
  <c r="CB93" i="24" s="1"/>
  <c r="AQ34" i="24"/>
  <c r="BI34" i="24"/>
  <c r="BJ34" i="24"/>
  <c r="BS34" i="24"/>
  <c r="BH34" i="24"/>
  <c r="AV12" i="24"/>
  <c r="AT12" i="24"/>
  <c r="BA12" i="24" s="1"/>
  <c r="BD5" i="24"/>
  <c r="BG5" i="24" s="1"/>
  <c r="BL5" i="24" s="1"/>
  <c r="AN8" i="24"/>
  <c r="BT8" i="24" s="1"/>
  <c r="AK8" i="24"/>
  <c r="AK94" i="24"/>
  <c r="AN94" i="24"/>
  <c r="CB94" i="24" s="1"/>
  <c r="AK37" i="24"/>
  <c r="AN37" i="24"/>
  <c r="BT37" i="24" s="1"/>
  <c r="AV94" i="24"/>
  <c r="AT94" i="24"/>
  <c r="BA94" i="24" s="1"/>
  <c r="AV9" i="24"/>
  <c r="AT9" i="24"/>
  <c r="BA9" i="24" s="1"/>
  <c r="BJ35" i="24"/>
  <c r="AK35" i="24"/>
  <c r="AK98" i="24"/>
  <c r="AN98" i="24"/>
  <c r="BT98" i="24" s="1"/>
  <c r="AK90" i="24"/>
  <c r="AN90" i="24"/>
  <c r="CB90" i="24" s="1"/>
  <c r="AK103" i="24"/>
  <c r="AN103" i="24"/>
  <c r="AQ103" i="24" s="1"/>
  <c r="AV24" i="24"/>
  <c r="AT24" i="24"/>
  <c r="BA24" i="24" s="1"/>
  <c r="AV16" i="24"/>
  <c r="AT16" i="24"/>
  <c r="BA16" i="24" s="1"/>
  <c r="AK52" i="24"/>
  <c r="AN52" i="24"/>
  <c r="BT52" i="24" s="1"/>
  <c r="AN84" i="24"/>
  <c r="AK84" i="24"/>
  <c r="AN61" i="24"/>
  <c r="BT61" i="24" s="1"/>
  <c r="AK61" i="24"/>
  <c r="AK99" i="24"/>
  <c r="AN99" i="24"/>
  <c r="AK39" i="24"/>
  <c r="AN39" i="24"/>
  <c r="BT39" i="24" s="1"/>
  <c r="AN11" i="24"/>
  <c r="BT11" i="24" s="1"/>
  <c r="AK11" i="24"/>
  <c r="AK77" i="24"/>
  <c r="AN77" i="24"/>
  <c r="CB77" i="24" s="1"/>
  <c r="AN58" i="24"/>
  <c r="AK58" i="24"/>
  <c r="AS35" i="24"/>
  <c r="AU35" i="24" s="1"/>
  <c r="BB35" i="24" s="1"/>
  <c r="BS35" i="24"/>
  <c r="AX35" i="24"/>
  <c r="AN44" i="24"/>
  <c r="BT44" i="24" s="1"/>
  <c r="AK44" i="24"/>
  <c r="AK66" i="24"/>
  <c r="AN66" i="24"/>
  <c r="BT66" i="24" s="1"/>
  <c r="AN26" i="24"/>
  <c r="BT26" i="24" s="1"/>
  <c r="AK26" i="24"/>
  <c r="AK20" i="24"/>
  <c r="AN20" i="24"/>
  <c r="BT20" i="24" s="1"/>
  <c r="AN80" i="24"/>
  <c r="BT80" i="24" s="1"/>
  <c r="AK80" i="24"/>
  <c r="AK17" i="24"/>
  <c r="AN17" i="24"/>
  <c r="BT17" i="24" s="1"/>
  <c r="AK24" i="24"/>
  <c r="AN24" i="24"/>
  <c r="BT24" i="24" s="1"/>
  <c r="AN47" i="24"/>
  <c r="BT47" i="24" s="1"/>
  <c r="AK47" i="24"/>
  <c r="AN67" i="24"/>
  <c r="CB67" i="24" s="1"/>
  <c r="AK67" i="24"/>
  <c r="AN57" i="24"/>
  <c r="BT57" i="24" s="1"/>
  <c r="AK57" i="24"/>
  <c r="AK62" i="24"/>
  <c r="AN62" i="24"/>
  <c r="BT62" i="24" s="1"/>
  <c r="AV30" i="24"/>
  <c r="AT30" i="24"/>
  <c r="BA30" i="24" s="1"/>
  <c r="AN9" i="24"/>
  <c r="BS9" i="24" s="1"/>
  <c r="AK9" i="24"/>
  <c r="AN75" i="24"/>
  <c r="BT75" i="24" s="1"/>
  <c r="AK75" i="24"/>
  <c r="AQ35" i="24"/>
  <c r="BI35" i="24"/>
  <c r="AN38" i="24"/>
  <c r="BT38" i="24" s="1"/>
  <c r="AK38" i="24"/>
  <c r="AV17" i="24"/>
  <c r="AT17" i="24"/>
  <c r="BA17" i="24" s="1"/>
  <c r="AK45" i="24"/>
  <c r="AN45" i="24"/>
  <c r="BT45" i="24" s="1"/>
  <c r="AV26" i="24"/>
  <c r="AT26" i="24"/>
  <c r="BA26" i="24" s="1"/>
  <c r="AK30" i="24"/>
  <c r="AN30" i="24"/>
  <c r="BT30" i="24" s="1"/>
  <c r="AK76" i="24"/>
  <c r="AN76" i="24"/>
  <c r="BT76" i="24" s="1"/>
  <c r="AN12" i="24"/>
  <c r="BT12" i="24" s="1"/>
  <c r="AK12" i="24"/>
  <c r="AN16" i="24"/>
  <c r="BT16" i="24" s="1"/>
  <c r="AK16" i="24"/>
  <c r="AK6" i="24"/>
  <c r="AN6" i="24"/>
  <c r="AN7" i="24"/>
  <c r="BT7" i="24" s="1"/>
  <c r="AK7" i="24"/>
  <c r="BE5" i="24"/>
  <c r="BR5" i="24" s="1"/>
  <c r="AQ110" i="24"/>
  <c r="AU185" i="24"/>
  <c r="AW185" i="24"/>
  <c r="AU201" i="24"/>
  <c r="AW201" i="24"/>
  <c r="AU151" i="24"/>
  <c r="AW151" i="24"/>
  <c r="AU129" i="24"/>
  <c r="AW129" i="24"/>
  <c r="AU158" i="24"/>
  <c r="AW158" i="24"/>
  <c r="AU315" i="24"/>
  <c r="AW315" i="24"/>
  <c r="AU307" i="24"/>
  <c r="AW307" i="24"/>
  <c r="AW233" i="24"/>
  <c r="AU233" i="24"/>
  <c r="AW227" i="24"/>
  <c r="AU227" i="24"/>
  <c r="AW241" i="24"/>
  <c r="AU241" i="24"/>
  <c r="AW239" i="24"/>
  <c r="AU239" i="24"/>
  <c r="AU281" i="24"/>
  <c r="AW281" i="24"/>
  <c r="AU124" i="24"/>
  <c r="AW124" i="24"/>
  <c r="AU113" i="24"/>
  <c r="AW113" i="24"/>
  <c r="AU118" i="24"/>
  <c r="AW118" i="24"/>
  <c r="AU285" i="24"/>
  <c r="AW285" i="24"/>
  <c r="AU286" i="24"/>
  <c r="AW286" i="24"/>
  <c r="AU125" i="24"/>
  <c r="AW125" i="24"/>
  <c r="AU261" i="24"/>
  <c r="AW261" i="24"/>
  <c r="AU300" i="24"/>
  <c r="AW300" i="24"/>
  <c r="AU216" i="24"/>
  <c r="AW216" i="24"/>
  <c r="AU274" i="24"/>
  <c r="AW274" i="24"/>
  <c r="AU259" i="24"/>
  <c r="AW259" i="24"/>
  <c r="AU294" i="24"/>
  <c r="AW294" i="24"/>
  <c r="AU299" i="24"/>
  <c r="AW299" i="24"/>
  <c r="AU173" i="24"/>
  <c r="AW173" i="24"/>
  <c r="AU221" i="24"/>
  <c r="AW221" i="24"/>
  <c r="AU271" i="24"/>
  <c r="AW271" i="24"/>
  <c r="AU280" i="24"/>
  <c r="AW280" i="24"/>
  <c r="AU137" i="24"/>
  <c r="AW137" i="24"/>
  <c r="AW247" i="24"/>
  <c r="AU247" i="24"/>
  <c r="AU288" i="24"/>
  <c r="AW288" i="24"/>
  <c r="AU262" i="24"/>
  <c r="AW262" i="24"/>
  <c r="AU190" i="24"/>
  <c r="AW190" i="24"/>
  <c r="AU183" i="24"/>
  <c r="AW183" i="24"/>
  <c r="AU197" i="24"/>
  <c r="AW197" i="24"/>
  <c r="AU202" i="24"/>
  <c r="AW202" i="24"/>
  <c r="AU187" i="24"/>
  <c r="AW187" i="24"/>
  <c r="AU200" i="24"/>
  <c r="AW200" i="24"/>
  <c r="AU180" i="24"/>
  <c r="AW180" i="24"/>
  <c r="AU264" i="24"/>
  <c r="AW264" i="24"/>
  <c r="AU236" i="24"/>
  <c r="AW236" i="24"/>
  <c r="AU287" i="24"/>
  <c r="AW287" i="24"/>
  <c r="AU309" i="24"/>
  <c r="AW309" i="24"/>
  <c r="AU272" i="24"/>
  <c r="AW272" i="24"/>
  <c r="AU121" i="24"/>
  <c r="AW121" i="24"/>
  <c r="AU228" i="24"/>
  <c r="AW228" i="24"/>
  <c r="AU290" i="24"/>
  <c r="AW290" i="24"/>
  <c r="AU175" i="24"/>
  <c r="AW175" i="24"/>
  <c r="AU302" i="24"/>
  <c r="AW302" i="24"/>
  <c r="AU301" i="24"/>
  <c r="AW301" i="24"/>
  <c r="AU171" i="24"/>
  <c r="AW171" i="24"/>
  <c r="AU139" i="24"/>
  <c r="AW139" i="24"/>
  <c r="AU246" i="24"/>
  <c r="AW246" i="24"/>
  <c r="AU244" i="24"/>
  <c r="AW244" i="24"/>
  <c r="AU252" i="24"/>
  <c r="AW252" i="24"/>
  <c r="AU293" i="24"/>
  <c r="AW293" i="24"/>
  <c r="AU178" i="24"/>
  <c r="AW178" i="24"/>
  <c r="AU270" i="24"/>
  <c r="AW270" i="24"/>
  <c r="AU220" i="24"/>
  <c r="AW220" i="24"/>
  <c r="AU276" i="24"/>
  <c r="AW276" i="24"/>
  <c r="AU142" i="24"/>
  <c r="AW142" i="24"/>
  <c r="AU248" i="24"/>
  <c r="AW248" i="24"/>
  <c r="AU310" i="24"/>
  <c r="AW310" i="24"/>
  <c r="AU257" i="24"/>
  <c r="AW257" i="24"/>
  <c r="AU177" i="24"/>
  <c r="AW177" i="24"/>
  <c r="AU116" i="24"/>
  <c r="AW116" i="24"/>
  <c r="AU153" i="24"/>
  <c r="AW153" i="24"/>
  <c r="AU292" i="24"/>
  <c r="AW292" i="24"/>
  <c r="AU224" i="24"/>
  <c r="AW224" i="24"/>
  <c r="AU250" i="24"/>
  <c r="AW250" i="24"/>
  <c r="AU313" i="24"/>
  <c r="AW313" i="24"/>
  <c r="AU266" i="24"/>
  <c r="AW266" i="24"/>
  <c r="AU256" i="24"/>
  <c r="AW256" i="24"/>
  <c r="AW263" i="24"/>
  <c r="AU263" i="24"/>
  <c r="AU298" i="24"/>
  <c r="AW298" i="24"/>
  <c r="AU237" i="24"/>
  <c r="AW237" i="24"/>
  <c r="AU234" i="24"/>
  <c r="AW234" i="24"/>
  <c r="AU269" i="24"/>
  <c r="AW269" i="24"/>
  <c r="AU277" i="24"/>
  <c r="AW277" i="24"/>
  <c r="AU144" i="24"/>
  <c r="AW144" i="24"/>
  <c r="AU160" i="24"/>
  <c r="AW160" i="24"/>
  <c r="AU316" i="24"/>
  <c r="AW316" i="24"/>
  <c r="AU258" i="24"/>
  <c r="AW258" i="24"/>
  <c r="AU218" i="24"/>
  <c r="AW218" i="24"/>
  <c r="AU296" i="24"/>
  <c r="AW296" i="24"/>
  <c r="AW303" i="24"/>
  <c r="AU303" i="24"/>
  <c r="AW231" i="24"/>
  <c r="AU231" i="24"/>
  <c r="AU154" i="24"/>
  <c r="AW154" i="24"/>
  <c r="AU143" i="24"/>
  <c r="AW143" i="24"/>
  <c r="AU111" i="24"/>
  <c r="AW111" i="24"/>
  <c r="AU140" i="24"/>
  <c r="AW140" i="24"/>
  <c r="AW297" i="24"/>
  <c r="AU297" i="24"/>
  <c r="AU314" i="24"/>
  <c r="AW314" i="24"/>
  <c r="AU283" i="24"/>
  <c r="AW283" i="24"/>
  <c r="AU145" i="24"/>
  <c r="AW145" i="24"/>
  <c r="AU148" i="24"/>
  <c r="AW148" i="24"/>
  <c r="AU222" i="24"/>
  <c r="AW222" i="24"/>
  <c r="AU223" i="24"/>
  <c r="AW223" i="24"/>
  <c r="AU267" i="24"/>
  <c r="AW267" i="24"/>
  <c r="AW279" i="24"/>
  <c r="AU279" i="24"/>
  <c r="AU253" i="24"/>
  <c r="AW253" i="24"/>
  <c r="AU273" i="24"/>
  <c r="AW273" i="24"/>
  <c r="AU229" i="24"/>
  <c r="AW229" i="24"/>
  <c r="AU251" i="24"/>
  <c r="AW251" i="24"/>
  <c r="AU254" i="24"/>
  <c r="AW254" i="24"/>
  <c r="AU268" i="24"/>
  <c r="AW268" i="24"/>
  <c r="AU127" i="24"/>
  <c r="AW127" i="24"/>
  <c r="AU138" i="24"/>
  <c r="AW138" i="24"/>
  <c r="AU120" i="24"/>
  <c r="AW120" i="24"/>
  <c r="AU235" i="24"/>
  <c r="AW235" i="24"/>
  <c r="AU275" i="24"/>
  <c r="AW275" i="24"/>
  <c r="AU243" i="24"/>
  <c r="AW243" i="24"/>
  <c r="AU282" i="24"/>
  <c r="AW282" i="24"/>
  <c r="AU219" i="24"/>
  <c r="AW219" i="24"/>
  <c r="AU240" i="24"/>
  <c r="AW240" i="24"/>
  <c r="AU230" i="24"/>
  <c r="AW230" i="24"/>
  <c r="AU179" i="24"/>
  <c r="AW179" i="24"/>
  <c r="AW135" i="24"/>
  <c r="AU135" i="24"/>
  <c r="AU164" i="24"/>
  <c r="AW164" i="24"/>
  <c r="AU126" i="24"/>
  <c r="AW126" i="24"/>
  <c r="AU245" i="24"/>
  <c r="AW245" i="24"/>
  <c r="AU249" i="24"/>
  <c r="AW249" i="24"/>
  <c r="AU304" i="24"/>
  <c r="AW304" i="24"/>
  <c r="AP110" i="25"/>
  <c r="AT173" i="25"/>
  <c r="AY173" i="25" s="1"/>
  <c r="AU173" i="25"/>
  <c r="AT210" i="25"/>
  <c r="AY210" i="25" s="1"/>
  <c r="AU210" i="25"/>
  <c r="AT171" i="25"/>
  <c r="AY171" i="25" s="1"/>
  <c r="AU171" i="25"/>
  <c r="AT191" i="25"/>
  <c r="AY191" i="25" s="1"/>
  <c r="AU191" i="25"/>
  <c r="AT209" i="25"/>
  <c r="AY209" i="25" s="1"/>
  <c r="AU209" i="25"/>
  <c r="AT175" i="25"/>
  <c r="AY175" i="25" s="1"/>
  <c r="AU175" i="25"/>
  <c r="AU123" i="25"/>
  <c r="AT123" i="25"/>
  <c r="AY123" i="25" s="1"/>
  <c r="AU203" i="25"/>
  <c r="AT203" i="25"/>
  <c r="AY203" i="25" s="1"/>
  <c r="AU167" i="25"/>
  <c r="AT167" i="25"/>
  <c r="AY167" i="25" s="1"/>
  <c r="AT148" i="25"/>
  <c r="AY148" i="25" s="1"/>
  <c r="AU148" i="25"/>
  <c r="AT199" i="25"/>
  <c r="AY199" i="25" s="1"/>
  <c r="AU199" i="25"/>
  <c r="AT136" i="25"/>
  <c r="AY136" i="25" s="1"/>
  <c r="AU136" i="25"/>
  <c r="AT180" i="25"/>
  <c r="AY180" i="25" s="1"/>
  <c r="AU180" i="25"/>
  <c r="AT121" i="25"/>
  <c r="AY121" i="25" s="1"/>
  <c r="AU121" i="25"/>
  <c r="AT201" i="25"/>
  <c r="AY201" i="25" s="1"/>
  <c r="AU201" i="25"/>
  <c r="AU147" i="25"/>
  <c r="AT147" i="25"/>
  <c r="AY147" i="25" s="1"/>
  <c r="AT111" i="25"/>
  <c r="AY111" i="25" s="1"/>
  <c r="AU111" i="25"/>
  <c r="AT194" i="25"/>
  <c r="AY194" i="25" s="1"/>
  <c r="AU194" i="25"/>
  <c r="AT202" i="25"/>
  <c r="AY202" i="25" s="1"/>
  <c r="AU202" i="25"/>
  <c r="AT122" i="25"/>
  <c r="AY122" i="25" s="1"/>
  <c r="AU122" i="25"/>
  <c r="AT130" i="25"/>
  <c r="AY130" i="25" s="1"/>
  <c r="AU130" i="25"/>
  <c r="AT115" i="25"/>
  <c r="AY115" i="25" s="1"/>
  <c r="AU115" i="25"/>
  <c r="AT206" i="25"/>
  <c r="AY206" i="25" s="1"/>
  <c r="AU206" i="25"/>
  <c r="AT178" i="25"/>
  <c r="AY178" i="25" s="1"/>
  <c r="AU178" i="25"/>
  <c r="AT186" i="25"/>
  <c r="AY186" i="25" s="1"/>
  <c r="AU186" i="25"/>
  <c r="AT112" i="25"/>
  <c r="AY112" i="25" s="1"/>
  <c r="AU112" i="25"/>
  <c r="AT150" i="25"/>
  <c r="AY150" i="25" s="1"/>
  <c r="AU150" i="25"/>
  <c r="AT160" i="25"/>
  <c r="AY160" i="25" s="1"/>
  <c r="AU160" i="25"/>
  <c r="AT163" i="25"/>
  <c r="AY163" i="25" s="1"/>
  <c r="AU163" i="25"/>
  <c r="AT205" i="25"/>
  <c r="AY205" i="25" s="1"/>
  <c r="AU205" i="25"/>
  <c r="AT162" i="25"/>
  <c r="AY162" i="25" s="1"/>
  <c r="AU162" i="25"/>
  <c r="AT144" i="25"/>
  <c r="AY144" i="25" s="1"/>
  <c r="AU144" i="25"/>
  <c r="AT119" i="25"/>
  <c r="AY119" i="25" s="1"/>
  <c r="AU119" i="25"/>
  <c r="AT181" i="25"/>
  <c r="AY181" i="25" s="1"/>
  <c r="AU181" i="25"/>
  <c r="AT197" i="25"/>
  <c r="AY197" i="25" s="1"/>
  <c r="AU197" i="25"/>
  <c r="AU207" i="25"/>
  <c r="AT207" i="25"/>
  <c r="AY207" i="25" s="1"/>
  <c r="AT134" i="25"/>
  <c r="AY134" i="25" s="1"/>
  <c r="AU134" i="25"/>
  <c r="AT189" i="25"/>
  <c r="AY189" i="25" s="1"/>
  <c r="AU189" i="25"/>
  <c r="AT156" i="25"/>
  <c r="AY156" i="25" s="1"/>
  <c r="AU156" i="25"/>
  <c r="AT138" i="25"/>
  <c r="AY138" i="25" s="1"/>
  <c r="AU138" i="25"/>
  <c r="AT113" i="25"/>
  <c r="AY113" i="25" s="1"/>
  <c r="AU113" i="25"/>
  <c r="AT131" i="25"/>
  <c r="AY131" i="25" s="1"/>
  <c r="AU131" i="25"/>
  <c r="AT141" i="25"/>
  <c r="AY141" i="25" s="1"/>
  <c r="AU141" i="25"/>
  <c r="AT132" i="25"/>
  <c r="AY132" i="25" s="1"/>
  <c r="AU132" i="25"/>
  <c r="AU135" i="25"/>
  <c r="AT135" i="25"/>
  <c r="AY135" i="25" s="1"/>
  <c r="AT155" i="25"/>
  <c r="AY155" i="25" s="1"/>
  <c r="AU155" i="25"/>
  <c r="AT208" i="25"/>
  <c r="AY208" i="25" s="1"/>
  <c r="AU208" i="25"/>
  <c r="AT165" i="25"/>
  <c r="AY165" i="25" s="1"/>
  <c r="AU165" i="25"/>
  <c r="AT145" i="25"/>
  <c r="AY145" i="25" s="1"/>
  <c r="AU145" i="25"/>
  <c r="AT137" i="25"/>
  <c r="AY137" i="25" s="1"/>
  <c r="AU137" i="25"/>
  <c r="AT125" i="25"/>
  <c r="AY125" i="25" s="1"/>
  <c r="AU125" i="25"/>
  <c r="AT193" i="25"/>
  <c r="AY193" i="25" s="1"/>
  <c r="AU193" i="25"/>
  <c r="AU127" i="25"/>
  <c r="AT127" i="25"/>
  <c r="AY127" i="25" s="1"/>
  <c r="AT157" i="25"/>
  <c r="AY157" i="25" s="1"/>
  <c r="AU157" i="25"/>
  <c r="AT151" i="25"/>
  <c r="AY151" i="25" s="1"/>
  <c r="AU151" i="25"/>
  <c r="AT117" i="25"/>
  <c r="AY117" i="25" s="1"/>
  <c r="AU117" i="25"/>
  <c r="AT172" i="25"/>
  <c r="AY172" i="25" s="1"/>
  <c r="AU172" i="25"/>
  <c r="AT146" i="25"/>
  <c r="AY146" i="25" s="1"/>
  <c r="AU146" i="25"/>
  <c r="AT184" i="25"/>
  <c r="AY184" i="25" s="1"/>
  <c r="AU184" i="25"/>
  <c r="AT154" i="25"/>
  <c r="AY154" i="25" s="1"/>
  <c r="AU154" i="25"/>
  <c r="AT183" i="25"/>
  <c r="AY183" i="25" s="1"/>
  <c r="AU183" i="25"/>
  <c r="AT190" i="25"/>
  <c r="AY190" i="25" s="1"/>
  <c r="AU190" i="25"/>
  <c r="AT116" i="25"/>
  <c r="AY116" i="25" s="1"/>
  <c r="AU116" i="25"/>
  <c r="AT153" i="25"/>
  <c r="AY153" i="25" s="1"/>
  <c r="AU153" i="25"/>
  <c r="AT128" i="25"/>
  <c r="AY128" i="25" s="1"/>
  <c r="AU128" i="25"/>
  <c r="AT118" i="25"/>
  <c r="AY118" i="25" s="1"/>
  <c r="AU118" i="25"/>
  <c r="AT164" i="25"/>
  <c r="AY164" i="25" s="1"/>
  <c r="AU164" i="25"/>
  <c r="AT133" i="25"/>
  <c r="AY133" i="25" s="1"/>
  <c r="AU133" i="25"/>
  <c r="AT185" i="25"/>
  <c r="AY185" i="25" s="1"/>
  <c r="AU185" i="25"/>
  <c r="AT188" i="25"/>
  <c r="AY188" i="25" s="1"/>
  <c r="AU188" i="25"/>
  <c r="AT158" i="25"/>
  <c r="AY158" i="25" s="1"/>
  <c r="AU158" i="25"/>
  <c r="AT126" i="25"/>
  <c r="AY126" i="25" s="1"/>
  <c r="AU126" i="25"/>
  <c r="AT149" i="25"/>
  <c r="AY149" i="25" s="1"/>
  <c r="AU149" i="25"/>
  <c r="AT195" i="25"/>
  <c r="AY195" i="25" s="1"/>
  <c r="AU195" i="25"/>
  <c r="AT177" i="25"/>
  <c r="AY177" i="25" s="1"/>
  <c r="AU177" i="25"/>
  <c r="AT196" i="25"/>
  <c r="AY196" i="25" s="1"/>
  <c r="AU196" i="25"/>
  <c r="AT176" i="25"/>
  <c r="AY176" i="25" s="1"/>
  <c r="AU176" i="25"/>
  <c r="AT174" i="25"/>
  <c r="AY174" i="25" s="1"/>
  <c r="AU174" i="25"/>
  <c r="AT168" i="25"/>
  <c r="AY168" i="25" s="1"/>
  <c r="AU168" i="25"/>
  <c r="AT198" i="25"/>
  <c r="AY198" i="25" s="1"/>
  <c r="AU198" i="25"/>
  <c r="AU187" i="25"/>
  <c r="AT187" i="25"/>
  <c r="AY187" i="25" s="1"/>
  <c r="AT159" i="25"/>
  <c r="AY159" i="25" s="1"/>
  <c r="AU159" i="25"/>
  <c r="AT182" i="25"/>
  <c r="AY182" i="25" s="1"/>
  <c r="AU182" i="25"/>
  <c r="AT152" i="25"/>
  <c r="AY152" i="25" s="1"/>
  <c r="AU152" i="25"/>
  <c r="AT129" i="25"/>
  <c r="AY129" i="25" s="1"/>
  <c r="AU129" i="25"/>
  <c r="AT139" i="25"/>
  <c r="AY139" i="25" s="1"/>
  <c r="AU139" i="25"/>
  <c r="AT200" i="25"/>
  <c r="AY200" i="25" s="1"/>
  <c r="AU200" i="25"/>
  <c r="AT114" i="25"/>
  <c r="AY114" i="25" s="1"/>
  <c r="AU114" i="25"/>
  <c r="AT142" i="25"/>
  <c r="AY142" i="25" s="1"/>
  <c r="AU142" i="25"/>
  <c r="AU179" i="25"/>
  <c r="AT179" i="25"/>
  <c r="AY179" i="25" s="1"/>
  <c r="AT140" i="25"/>
  <c r="AY140" i="25" s="1"/>
  <c r="AU140" i="25"/>
  <c r="AT161" i="25"/>
  <c r="AY161" i="25" s="1"/>
  <c r="AU161" i="25"/>
  <c r="AT169" i="25"/>
  <c r="AY169" i="25" s="1"/>
  <c r="AU169" i="25"/>
  <c r="AT192" i="25"/>
  <c r="AY192" i="25" s="1"/>
  <c r="AU192" i="25"/>
  <c r="AT124" i="25"/>
  <c r="AY124" i="25" s="1"/>
  <c r="AU124" i="25"/>
  <c r="AT204" i="25"/>
  <c r="AY204" i="25" s="1"/>
  <c r="AU204" i="25"/>
  <c r="AU143" i="25"/>
  <c r="AT143" i="25"/>
  <c r="AY143" i="25" s="1"/>
  <c r="AT170" i="25"/>
  <c r="AY170" i="25" s="1"/>
  <c r="AU170" i="25"/>
  <c r="AT166" i="25"/>
  <c r="AY166" i="25" s="1"/>
  <c r="AU166" i="25"/>
  <c r="AT120" i="25"/>
  <c r="AY120" i="25" s="1"/>
  <c r="AU120" i="25"/>
  <c r="AT311" i="25"/>
  <c r="AU311" i="25"/>
  <c r="AT252" i="25"/>
  <c r="AU252" i="25"/>
  <c r="AT277" i="25"/>
  <c r="AU277" i="25"/>
  <c r="AT221" i="25"/>
  <c r="AU221" i="25"/>
  <c r="AT280" i="25"/>
  <c r="AU280" i="25"/>
  <c r="AT263" i="25"/>
  <c r="AU263" i="25"/>
  <c r="AU259" i="25"/>
  <c r="AT259" i="25"/>
  <c r="AT234" i="25"/>
  <c r="AU234" i="25"/>
  <c r="AT245" i="25"/>
  <c r="AU245" i="25"/>
  <c r="AT290" i="25"/>
  <c r="AU290" i="25"/>
  <c r="AT220" i="25"/>
  <c r="AU220" i="25"/>
  <c r="AT305" i="25"/>
  <c r="AU305" i="25"/>
  <c r="AT217" i="25"/>
  <c r="AU217" i="25"/>
  <c r="AT288" i="25"/>
  <c r="AU288" i="25"/>
  <c r="AT258" i="25"/>
  <c r="AU258" i="25"/>
  <c r="AT278" i="25"/>
  <c r="AU278" i="25"/>
  <c r="AU271" i="25"/>
  <c r="AT271" i="25"/>
  <c r="AT282" i="25"/>
  <c r="AU282" i="25"/>
  <c r="AU235" i="25"/>
  <c r="AT235" i="25"/>
  <c r="AT301" i="25"/>
  <c r="AU301" i="25"/>
  <c r="AT275" i="25"/>
  <c r="AU275" i="25"/>
  <c r="AU287" i="25"/>
  <c r="AT287" i="25"/>
  <c r="AT239" i="25"/>
  <c r="AU239" i="25"/>
  <c r="AT226" i="25"/>
  <c r="AU226" i="25"/>
  <c r="AT299" i="25"/>
  <c r="AU299" i="25"/>
  <c r="AT289" i="25"/>
  <c r="AU289" i="25"/>
  <c r="AT253" i="25"/>
  <c r="AU253" i="25"/>
  <c r="AT281" i="25"/>
  <c r="AU281" i="25"/>
  <c r="AT304" i="25"/>
  <c r="AU304" i="25"/>
  <c r="AT265" i="25"/>
  <c r="AU265" i="25"/>
  <c r="AT224" i="25"/>
  <c r="AU224" i="25"/>
  <c r="AT269" i="25"/>
  <c r="AU269" i="25"/>
  <c r="AT313" i="25"/>
  <c r="AU313" i="25"/>
  <c r="AT233" i="25"/>
  <c r="AU233" i="25"/>
  <c r="AT303" i="25"/>
  <c r="AU303" i="25"/>
  <c r="AU302" i="25"/>
  <c r="AT302" i="25"/>
  <c r="AT297" i="25"/>
  <c r="AU297" i="25"/>
  <c r="AT223" i="25"/>
  <c r="AU223" i="25"/>
  <c r="AT268" i="25"/>
  <c r="AU268" i="25"/>
  <c r="AT298" i="25"/>
  <c r="AU298" i="25"/>
  <c r="AT225" i="25"/>
  <c r="AU225" i="25"/>
  <c r="AT312" i="25"/>
  <c r="AU312" i="25"/>
  <c r="AT242" i="25"/>
  <c r="AU242" i="25"/>
  <c r="AT264" i="25"/>
  <c r="AU264" i="25"/>
  <c r="AT260" i="25"/>
  <c r="AU260" i="25"/>
  <c r="AT309" i="25"/>
  <c r="AU309" i="25"/>
  <c r="AT229" i="25"/>
  <c r="AU229" i="25"/>
  <c r="AT247" i="25"/>
  <c r="AU247" i="25"/>
  <c r="AT307" i="25"/>
  <c r="AU307" i="25"/>
  <c r="AT216" i="25"/>
  <c r="AU216" i="25"/>
  <c r="AT250" i="25"/>
  <c r="AU250" i="25"/>
  <c r="AT251" i="25"/>
  <c r="AU251" i="25"/>
  <c r="AT227" i="25"/>
  <c r="AU227" i="25"/>
  <c r="AT262" i="25"/>
  <c r="AU262" i="25"/>
  <c r="AU294" i="25"/>
  <c r="AT294" i="25"/>
  <c r="AT314" i="25"/>
  <c r="AU314" i="25"/>
  <c r="AU295" i="25"/>
  <c r="AT295" i="25"/>
  <c r="AT296" i="25"/>
  <c r="AU296" i="25"/>
  <c r="AT279" i="25"/>
  <c r="AU279" i="25"/>
  <c r="AT246" i="25"/>
  <c r="AU246" i="25"/>
  <c r="AT236" i="25"/>
  <c r="AU236" i="25"/>
  <c r="AT284" i="25"/>
  <c r="AU284" i="25"/>
  <c r="AU306" i="25"/>
  <c r="AT306" i="25"/>
  <c r="AT308" i="25"/>
  <c r="AU308" i="25"/>
  <c r="AT238" i="25"/>
  <c r="AU238" i="25"/>
  <c r="AT292" i="25"/>
  <c r="AU292" i="25"/>
  <c r="AT244" i="25"/>
  <c r="AU244" i="25"/>
  <c r="AT285" i="25"/>
  <c r="AU285" i="25"/>
  <c r="AT293" i="25"/>
  <c r="AU293" i="25"/>
  <c r="AT270" i="25"/>
  <c r="AU270" i="25"/>
  <c r="AT266" i="25"/>
  <c r="AU266" i="25"/>
  <c r="AT291" i="25"/>
  <c r="AU291" i="25"/>
  <c r="AT248" i="25"/>
  <c r="AU248" i="25"/>
  <c r="AT300" i="25"/>
  <c r="AU300" i="25"/>
  <c r="AT219" i="25"/>
  <c r="AU219" i="25"/>
  <c r="AT315" i="25"/>
  <c r="AU315" i="25"/>
  <c r="AT310" i="25"/>
  <c r="AU310" i="25"/>
  <c r="AT276" i="25"/>
  <c r="AU276" i="25"/>
  <c r="AT241" i="25"/>
  <c r="AU241" i="25"/>
  <c r="AT249" i="25"/>
  <c r="AU249" i="25"/>
  <c r="AT283" i="25"/>
  <c r="AU283" i="25"/>
  <c r="AT316" i="25"/>
  <c r="AU316" i="25"/>
  <c r="AU243" i="25"/>
  <c r="AT243" i="25"/>
  <c r="AT232" i="25"/>
  <c r="AU232" i="25"/>
  <c r="AT274" i="25"/>
  <c r="AU274" i="25"/>
  <c r="AT256" i="25"/>
  <c r="AU256" i="25"/>
  <c r="AT254" i="25"/>
  <c r="AU254" i="25"/>
  <c r="AT272" i="25"/>
  <c r="AU272" i="25"/>
  <c r="AT222" i="25"/>
  <c r="AU222" i="25"/>
  <c r="AT273" i="25"/>
  <c r="AU273" i="25"/>
  <c r="AT218" i="25"/>
  <c r="AU218" i="25"/>
  <c r="AT240" i="25"/>
  <c r="AU240" i="25"/>
  <c r="AT261" i="25"/>
  <c r="AU261" i="25"/>
  <c r="AT255" i="25"/>
  <c r="AU255" i="25"/>
  <c r="AT237" i="25"/>
  <c r="AU237" i="25"/>
  <c r="AT286" i="25"/>
  <c r="AU286" i="25"/>
  <c r="AT257" i="25"/>
  <c r="AU257" i="25"/>
  <c r="AT228" i="25"/>
  <c r="AU228" i="25"/>
  <c r="AU267" i="25"/>
  <c r="AT267" i="25"/>
  <c r="AT230" i="25"/>
  <c r="AU230" i="25"/>
  <c r="AT231" i="25"/>
  <c r="AU231" i="25"/>
  <c r="AX5" i="25"/>
  <c r="AR5" i="25"/>
  <c r="BH5" i="25"/>
  <c r="BS5" i="25"/>
  <c r="AP5" i="25"/>
  <c r="BF5" i="25"/>
  <c r="BG5" i="25"/>
  <c r="B108" i="2"/>
  <c r="B98" i="2"/>
  <c r="AU65" i="25"/>
  <c r="AU98" i="25"/>
  <c r="AU43" i="25"/>
  <c r="AU55" i="25"/>
  <c r="AU57" i="25"/>
  <c r="AU73" i="25"/>
  <c r="AU85" i="25"/>
  <c r="AU95" i="25"/>
  <c r="AU32" i="25"/>
  <c r="AU66" i="25"/>
  <c r="AU84" i="25"/>
  <c r="AU99" i="25"/>
  <c r="AU18" i="25"/>
  <c r="AU60" i="25"/>
  <c r="AU90" i="25"/>
  <c r="AU33" i="25"/>
  <c r="AT35" i="25"/>
  <c r="AY35" i="25" s="1"/>
  <c r="AU35" i="25"/>
  <c r="AT105" i="25"/>
  <c r="AU105" i="25"/>
  <c r="AT41" i="25"/>
  <c r="AY41" i="25" s="1"/>
  <c r="AU41" i="25"/>
  <c r="AT15" i="25"/>
  <c r="AY15" i="25" s="1"/>
  <c r="AU15" i="25"/>
  <c r="AU25" i="25"/>
  <c r="AT92" i="25"/>
  <c r="AY92" i="25" s="1"/>
  <c r="AU92" i="25"/>
  <c r="AT104" i="25"/>
  <c r="AY104" i="25" s="1"/>
  <c r="AU104" i="25"/>
  <c r="AT52" i="25"/>
  <c r="AY52" i="25" s="1"/>
  <c r="AU52" i="25"/>
  <c r="AT96" i="25"/>
  <c r="AY96" i="25" s="1"/>
  <c r="AU96" i="25"/>
  <c r="AT94" i="25"/>
  <c r="AY94" i="25" s="1"/>
  <c r="AU94" i="25"/>
  <c r="AT31" i="25"/>
  <c r="AY31" i="25" s="1"/>
  <c r="AU31" i="25"/>
  <c r="AT24" i="25"/>
  <c r="AY24" i="25" s="1"/>
  <c r="AU24" i="25"/>
  <c r="AT13" i="25"/>
  <c r="AY13" i="25" s="1"/>
  <c r="AU13" i="25"/>
  <c r="AT68" i="25"/>
  <c r="AY68" i="25" s="1"/>
  <c r="AU68" i="25"/>
  <c r="AT91" i="25"/>
  <c r="AY91" i="25" s="1"/>
  <c r="AU91" i="25"/>
  <c r="AT93" i="25"/>
  <c r="AY93" i="25" s="1"/>
  <c r="AU93" i="25"/>
  <c r="AT30" i="25"/>
  <c r="AY30" i="25" s="1"/>
  <c r="AU30" i="25"/>
  <c r="AU16" i="25"/>
  <c r="AT71" i="25"/>
  <c r="AY71" i="25" s="1"/>
  <c r="AU71" i="25"/>
  <c r="AT61" i="25"/>
  <c r="AY61" i="25" s="1"/>
  <c r="AU61" i="25"/>
  <c r="AT54" i="25"/>
  <c r="AY54" i="25" s="1"/>
  <c r="AU54" i="25"/>
  <c r="AU10" i="25"/>
  <c r="AU23" i="25"/>
  <c r="AT79" i="25"/>
  <c r="AY79" i="25" s="1"/>
  <c r="AU79" i="25"/>
  <c r="AT40" i="25"/>
  <c r="AY40" i="25" s="1"/>
  <c r="AU40" i="25"/>
  <c r="AT27" i="25"/>
  <c r="AY27" i="25" s="1"/>
  <c r="AU27" i="25"/>
  <c r="AU77" i="25"/>
  <c r="AT53" i="25"/>
  <c r="AY53" i="25" s="1"/>
  <c r="AU53" i="25"/>
  <c r="AT51" i="25"/>
  <c r="AY51" i="25" s="1"/>
  <c r="AU51" i="25"/>
  <c r="AT63" i="25"/>
  <c r="AY63" i="25" s="1"/>
  <c r="AU63" i="25"/>
  <c r="AT67" i="25"/>
  <c r="AY67" i="25" s="1"/>
  <c r="AU67" i="25"/>
  <c r="AT47" i="25"/>
  <c r="AY47" i="25" s="1"/>
  <c r="AU47" i="25"/>
  <c r="AT22" i="25"/>
  <c r="AY22" i="25" s="1"/>
  <c r="AU22" i="25"/>
  <c r="AT17" i="25"/>
  <c r="AY17" i="25" s="1"/>
  <c r="AU17" i="25"/>
  <c r="AT78" i="25"/>
  <c r="AY78" i="25" s="1"/>
  <c r="AU78" i="25"/>
  <c r="AT20" i="25"/>
  <c r="AY20" i="25" s="1"/>
  <c r="AU20" i="25"/>
  <c r="AT9" i="25"/>
  <c r="AY9" i="25" s="1"/>
  <c r="AU9" i="25"/>
  <c r="AU39" i="25"/>
  <c r="AT76" i="25"/>
  <c r="AY76" i="25" s="1"/>
  <c r="AU76" i="25"/>
  <c r="AT48" i="25"/>
  <c r="AY48" i="25" s="1"/>
  <c r="AU48" i="25"/>
  <c r="AT59" i="25"/>
  <c r="AY59" i="25" s="1"/>
  <c r="AU59" i="25"/>
  <c r="AU46" i="25"/>
  <c r="AU89" i="25"/>
  <c r="AU19" i="25"/>
  <c r="AT101" i="25"/>
  <c r="AY101" i="25" s="1"/>
  <c r="AU101" i="25"/>
  <c r="AU50" i="25"/>
  <c r="AT69" i="25"/>
  <c r="AY69" i="25" s="1"/>
  <c r="AU69" i="25"/>
  <c r="AT37" i="25"/>
  <c r="AY37" i="25" s="1"/>
  <c r="AU37" i="25"/>
  <c r="AT38" i="25"/>
  <c r="AY38" i="25" s="1"/>
  <c r="AU38" i="25"/>
  <c r="AT49" i="25"/>
  <c r="AY49" i="25" s="1"/>
  <c r="AU49" i="25"/>
  <c r="AT11" i="25"/>
  <c r="AY11" i="25" s="1"/>
  <c r="AU11" i="25"/>
  <c r="AT6" i="25"/>
  <c r="AY6" i="25" s="1"/>
  <c r="AU6" i="25"/>
  <c r="AT36" i="25"/>
  <c r="AY36" i="25" s="1"/>
  <c r="AU36" i="25"/>
  <c r="AU7" i="25"/>
  <c r="AT97" i="25"/>
  <c r="AY97" i="25" s="1"/>
  <c r="AU97" i="25"/>
  <c r="AT28" i="25"/>
  <c r="AY28" i="25" s="1"/>
  <c r="AU28" i="25"/>
  <c r="AT100" i="25"/>
  <c r="AY100" i="25" s="1"/>
  <c r="AU100" i="25"/>
  <c r="AT44" i="25"/>
  <c r="AY44" i="25" s="1"/>
  <c r="AU44" i="25"/>
  <c r="AT26" i="25"/>
  <c r="AY26" i="25" s="1"/>
  <c r="AU26" i="25"/>
  <c r="AT103" i="25"/>
  <c r="AY103" i="25" s="1"/>
  <c r="AU103" i="25"/>
  <c r="AT64" i="25"/>
  <c r="AY64" i="25" s="1"/>
  <c r="AU64" i="25"/>
  <c r="AT62" i="25"/>
  <c r="AY62" i="25" s="1"/>
  <c r="AU62" i="25"/>
  <c r="AT12" i="25"/>
  <c r="AY12" i="25" s="1"/>
  <c r="AU12" i="25"/>
  <c r="AU75" i="25"/>
  <c r="AT42" i="25"/>
  <c r="AY42" i="25" s="1"/>
  <c r="AU42" i="25"/>
  <c r="AT87" i="25"/>
  <c r="AY87" i="25" s="1"/>
  <c r="AU87" i="25"/>
  <c r="AU45" i="25"/>
  <c r="AU80" i="25"/>
  <c r="AT86" i="25"/>
  <c r="AY86" i="25" s="1"/>
  <c r="AU86" i="25"/>
  <c r="AT14" i="25"/>
  <c r="AY14" i="25" s="1"/>
  <c r="AU14" i="25"/>
  <c r="AT56" i="25"/>
  <c r="AY56" i="25" s="1"/>
  <c r="AU56" i="25"/>
  <c r="AT83" i="25"/>
  <c r="AY83" i="25" s="1"/>
  <c r="AU83" i="25"/>
  <c r="AT21" i="25"/>
  <c r="AY21" i="25" s="1"/>
  <c r="AU21" i="25"/>
  <c r="AU74" i="25"/>
  <c r="AT88" i="25"/>
  <c r="AY88" i="25" s="1"/>
  <c r="AU88" i="25"/>
  <c r="AT82" i="25"/>
  <c r="AY82" i="25" s="1"/>
  <c r="AU82" i="25"/>
  <c r="AT29" i="25"/>
  <c r="AY29" i="25" s="1"/>
  <c r="AU29" i="25"/>
  <c r="AU34" i="25"/>
  <c r="AT102" i="25"/>
  <c r="AY102" i="25" s="1"/>
  <c r="AU102" i="25"/>
  <c r="AT81" i="25"/>
  <c r="AY81" i="25" s="1"/>
  <c r="AU81" i="25"/>
  <c r="AT70" i="25"/>
  <c r="AY70" i="25" s="1"/>
  <c r="AU70" i="25"/>
  <c r="AU72" i="25"/>
  <c r="AT8" i="25"/>
  <c r="AY8" i="25" s="1"/>
  <c r="AU8" i="25"/>
  <c r="AW40" i="24"/>
  <c r="AY40" i="24" s="1"/>
  <c r="AZ40" i="24" s="1"/>
  <c r="AU32" i="24"/>
  <c r="BB32" i="24" s="1"/>
  <c r="AU53" i="24"/>
  <c r="BB53" i="24" s="1"/>
  <c r="BD53" i="24"/>
  <c r="BG53" i="24" s="1"/>
  <c r="BE53" i="24"/>
  <c r="BR53" i="24" s="1"/>
  <c r="BD32" i="24"/>
  <c r="BG32" i="24" s="1"/>
  <c r="BE32" i="24"/>
  <c r="BR32" i="24" s="1"/>
  <c r="AU18" i="24"/>
  <c r="BB18" i="24" s="1"/>
  <c r="AW18" i="24"/>
  <c r="AY18" i="24" s="1"/>
  <c r="AZ18" i="24" s="1"/>
  <c r="AW29" i="24"/>
  <c r="AY29" i="24" s="1"/>
  <c r="AZ29" i="24" s="1"/>
  <c r="AU29" i="24"/>
  <c r="BB29" i="24" s="1"/>
  <c r="AW82" i="24"/>
  <c r="AY82" i="24" s="1"/>
  <c r="AZ82" i="24" s="1"/>
  <c r="AU82" i="24"/>
  <c r="BB82" i="24" s="1"/>
  <c r="AW54" i="24"/>
  <c r="AY54" i="24" s="1"/>
  <c r="AZ54" i="24" s="1"/>
  <c r="AU54" i="24"/>
  <c r="BB54" i="24" s="1"/>
  <c r="AW19" i="24"/>
  <c r="AY19" i="24" s="1"/>
  <c r="AZ19" i="24" s="1"/>
  <c r="AU19" i="24"/>
  <c r="BB19" i="24" s="1"/>
  <c r="AW89" i="24"/>
  <c r="AY89" i="24" s="1"/>
  <c r="AZ89" i="24" s="1"/>
  <c r="AU89" i="24"/>
  <c r="BB89" i="24" s="1"/>
  <c r="AW59" i="24"/>
  <c r="AY59" i="24" s="1"/>
  <c r="AZ59" i="24" s="1"/>
  <c r="AU59" i="24"/>
  <c r="BB59" i="24" s="1"/>
  <c r="AW42" i="24"/>
  <c r="AY42" i="24" s="1"/>
  <c r="AZ42" i="24" s="1"/>
  <c r="AU42" i="24"/>
  <c r="BB42" i="24" s="1"/>
  <c r="AW36" i="24"/>
  <c r="AY36" i="24" s="1"/>
  <c r="AZ36" i="24" s="1"/>
  <c r="AU36" i="24"/>
  <c r="BB36" i="24" s="1"/>
  <c r="AW63" i="24"/>
  <c r="AY63" i="24" s="1"/>
  <c r="AZ63" i="24" s="1"/>
  <c r="AU63" i="24"/>
  <c r="BB63" i="24" s="1"/>
  <c r="AW56" i="24"/>
  <c r="AY56" i="24" s="1"/>
  <c r="AZ56" i="24" s="1"/>
  <c r="AU56" i="24"/>
  <c r="BB56" i="24" s="1"/>
  <c r="AW74" i="24"/>
  <c r="AY74" i="24" s="1"/>
  <c r="AZ74" i="24" s="1"/>
  <c r="AU74" i="24"/>
  <c r="BB74" i="24" s="1"/>
  <c r="AW72" i="24"/>
  <c r="AY72" i="24" s="1"/>
  <c r="AZ72" i="24" s="1"/>
  <c r="AU72" i="24"/>
  <c r="BB72" i="24" s="1"/>
  <c r="AW92" i="24"/>
  <c r="AY92" i="24" s="1"/>
  <c r="AZ92" i="24" s="1"/>
  <c r="AU92" i="24"/>
  <c r="BB92" i="24" s="1"/>
  <c r="AW79" i="24"/>
  <c r="AY79" i="24" s="1"/>
  <c r="AZ79" i="24" s="1"/>
  <c r="AU79" i="24"/>
  <c r="BB79" i="24" s="1"/>
  <c r="AW28" i="24"/>
  <c r="AY28" i="24" s="1"/>
  <c r="AZ28" i="24" s="1"/>
  <c r="AU28" i="24"/>
  <c r="BB28" i="24" s="1"/>
  <c r="AW96" i="24"/>
  <c r="AY96" i="24" s="1"/>
  <c r="AZ96" i="24" s="1"/>
  <c r="AU96" i="24"/>
  <c r="BB96" i="24" s="1"/>
  <c r="AW83" i="24"/>
  <c r="AY83" i="24" s="1"/>
  <c r="AZ83" i="24" s="1"/>
  <c r="AU83" i="24"/>
  <c r="BB83" i="24" s="1"/>
  <c r="AW68" i="24"/>
  <c r="AY68" i="24" s="1"/>
  <c r="AZ68" i="24" s="1"/>
  <c r="AU68" i="24"/>
  <c r="BB68" i="24" s="1"/>
  <c r="AW31" i="24"/>
  <c r="AY31" i="24" s="1"/>
  <c r="AZ31" i="24" s="1"/>
  <c r="AU31" i="24"/>
  <c r="BB31" i="24" s="1"/>
  <c r="AW46" i="24"/>
  <c r="AY46" i="24" s="1"/>
  <c r="AZ46" i="24" s="1"/>
  <c r="AU46" i="24"/>
  <c r="BB46" i="24" s="1"/>
  <c r="AW21" i="24"/>
  <c r="AY21" i="24" s="1"/>
  <c r="AZ21" i="24" s="1"/>
  <c r="AU21" i="24"/>
  <c r="BB21" i="24" s="1"/>
  <c r="AW85" i="24"/>
  <c r="AY85" i="24" s="1"/>
  <c r="AZ85" i="24" s="1"/>
  <c r="AU85" i="24"/>
  <c r="BB85" i="24" s="1"/>
  <c r="AW100" i="24"/>
  <c r="AY100" i="24" s="1"/>
  <c r="AZ100" i="24" s="1"/>
  <c r="AU100" i="24"/>
  <c r="BB100" i="24" s="1"/>
  <c r="BV106" i="19"/>
  <c r="CB106" i="19" s="1"/>
  <c r="BW106" i="19"/>
  <c r="CC106" i="19" s="1"/>
  <c r="BT84" i="24" l="1"/>
  <c r="CB84" i="24"/>
  <c r="AZ25" i="24"/>
  <c r="AZ50" i="24"/>
  <c r="AW133" i="24"/>
  <c r="BD133" i="24" s="1"/>
  <c r="AW166" i="24"/>
  <c r="BE166" i="24" s="1"/>
  <c r="BR166" i="24" s="1"/>
  <c r="BA179" i="25"/>
  <c r="BB179" i="25"/>
  <c r="BQ179" i="25" s="1"/>
  <c r="BC179" i="25"/>
  <c r="BR179" i="25" s="1"/>
  <c r="BA147" i="25"/>
  <c r="BC147" i="25"/>
  <c r="BR147" i="25" s="1"/>
  <c r="BB147" i="25"/>
  <c r="BQ147" i="25" s="1"/>
  <c r="BC166" i="25"/>
  <c r="BR166" i="25" s="1"/>
  <c r="BB166" i="25"/>
  <c r="BQ166" i="25" s="1"/>
  <c r="BA166" i="25"/>
  <c r="BB124" i="25"/>
  <c r="BQ124" i="25" s="1"/>
  <c r="BA124" i="25"/>
  <c r="BC124" i="25"/>
  <c r="BR124" i="25" s="1"/>
  <c r="BB140" i="25"/>
  <c r="BQ140" i="25" s="1"/>
  <c r="BC140" i="25"/>
  <c r="BR140" i="25" s="1"/>
  <c r="BA140" i="25"/>
  <c r="BA200" i="25"/>
  <c r="BC200" i="25"/>
  <c r="BR200" i="25" s="1"/>
  <c r="BB200" i="25"/>
  <c r="BQ200" i="25" s="1"/>
  <c r="BB129" i="25"/>
  <c r="BQ129" i="25" s="1"/>
  <c r="BA129" i="25"/>
  <c r="BC129" i="25"/>
  <c r="BR129" i="25" s="1"/>
  <c r="BB182" i="25"/>
  <c r="BQ182" i="25" s="1"/>
  <c r="BC182" i="25"/>
  <c r="BR182" i="25" s="1"/>
  <c r="BA182" i="25"/>
  <c r="BB176" i="25"/>
  <c r="BQ176" i="25" s="1"/>
  <c r="BC176" i="25"/>
  <c r="BR176" i="25" s="1"/>
  <c r="BA176" i="25"/>
  <c r="BC149" i="25"/>
  <c r="BR149" i="25" s="1"/>
  <c r="BB149" i="25"/>
  <c r="BQ149" i="25" s="1"/>
  <c r="BA149" i="25"/>
  <c r="BB185" i="25"/>
  <c r="BQ185" i="25" s="1"/>
  <c r="BC185" i="25"/>
  <c r="BR185" i="25" s="1"/>
  <c r="BA185" i="25"/>
  <c r="BC128" i="25"/>
  <c r="BR128" i="25" s="1"/>
  <c r="BB128" i="25"/>
  <c r="BQ128" i="25" s="1"/>
  <c r="BA128" i="25"/>
  <c r="BC116" i="25"/>
  <c r="BR116" i="25" s="1"/>
  <c r="BA116" i="25"/>
  <c r="BB116" i="25"/>
  <c r="BQ116" i="25" s="1"/>
  <c r="BC184" i="25"/>
  <c r="BR184" i="25" s="1"/>
  <c r="BA184" i="25"/>
  <c r="BB184" i="25"/>
  <c r="BQ184" i="25" s="1"/>
  <c r="BA172" i="25"/>
  <c r="BB172" i="25"/>
  <c r="BQ172" i="25" s="1"/>
  <c r="BC172" i="25"/>
  <c r="BR172" i="25" s="1"/>
  <c r="BC151" i="25"/>
  <c r="BR151" i="25" s="1"/>
  <c r="BB151" i="25"/>
  <c r="BQ151" i="25" s="1"/>
  <c r="BA151" i="25"/>
  <c r="BB125" i="25"/>
  <c r="BQ125" i="25" s="1"/>
  <c r="BA125" i="25"/>
  <c r="BC125" i="25"/>
  <c r="BR125" i="25" s="1"/>
  <c r="BA208" i="25"/>
  <c r="BB208" i="25"/>
  <c r="BQ208" i="25" s="1"/>
  <c r="BC208" i="25"/>
  <c r="BR208" i="25" s="1"/>
  <c r="BB141" i="25"/>
  <c r="BQ141" i="25" s="1"/>
  <c r="BC141" i="25"/>
  <c r="BR141" i="25" s="1"/>
  <c r="BA141" i="25"/>
  <c r="BB134" i="25"/>
  <c r="BQ134" i="25" s="1"/>
  <c r="BC134" i="25"/>
  <c r="BR134" i="25" s="1"/>
  <c r="BA134" i="25"/>
  <c r="BC162" i="25"/>
  <c r="BR162" i="25" s="1"/>
  <c r="BA162" i="25"/>
  <c r="BB162" i="25"/>
  <c r="BQ162" i="25" s="1"/>
  <c r="BA130" i="25"/>
  <c r="BB130" i="25"/>
  <c r="BQ130" i="25" s="1"/>
  <c r="BC130" i="25"/>
  <c r="BR130" i="25" s="1"/>
  <c r="BC173" i="25"/>
  <c r="BR173" i="25" s="1"/>
  <c r="BA173" i="25"/>
  <c r="BB173" i="25"/>
  <c r="BQ173" i="25" s="1"/>
  <c r="BA143" i="25"/>
  <c r="BB143" i="25"/>
  <c r="BQ143" i="25" s="1"/>
  <c r="BC143" i="25"/>
  <c r="BR143" i="25" s="1"/>
  <c r="BB187" i="25"/>
  <c r="BQ187" i="25" s="1"/>
  <c r="BC187" i="25"/>
  <c r="BR187" i="25" s="1"/>
  <c r="BA187" i="25"/>
  <c r="BC127" i="25"/>
  <c r="BR127" i="25" s="1"/>
  <c r="BB127" i="25"/>
  <c r="BQ127" i="25" s="1"/>
  <c r="BA127" i="25"/>
  <c r="BA135" i="25"/>
  <c r="BB135" i="25"/>
  <c r="BQ135" i="25" s="1"/>
  <c r="BC135" i="25"/>
  <c r="BR135" i="25" s="1"/>
  <c r="BB167" i="25"/>
  <c r="BQ167" i="25" s="1"/>
  <c r="BA167" i="25"/>
  <c r="BC167" i="25"/>
  <c r="BR167" i="25" s="1"/>
  <c r="BC123" i="25"/>
  <c r="BR123" i="25" s="1"/>
  <c r="BA123" i="25"/>
  <c r="BB123" i="25"/>
  <c r="BQ123" i="25" s="1"/>
  <c r="BA207" i="25"/>
  <c r="BC207" i="25"/>
  <c r="BR207" i="25" s="1"/>
  <c r="BB207" i="25"/>
  <c r="BQ207" i="25" s="1"/>
  <c r="BA203" i="25"/>
  <c r="BC203" i="25"/>
  <c r="BR203" i="25" s="1"/>
  <c r="BB203" i="25"/>
  <c r="BQ203" i="25" s="1"/>
  <c r="BC169" i="25"/>
  <c r="BR169" i="25" s="1"/>
  <c r="BA169" i="25"/>
  <c r="BB169" i="25"/>
  <c r="BQ169" i="25" s="1"/>
  <c r="BA142" i="25"/>
  <c r="BC142" i="25"/>
  <c r="BR142" i="25" s="1"/>
  <c r="BB142" i="25"/>
  <c r="BQ142" i="25" s="1"/>
  <c r="BA168" i="25"/>
  <c r="BC168" i="25"/>
  <c r="BR168" i="25" s="1"/>
  <c r="BB168" i="25"/>
  <c r="BQ168" i="25" s="1"/>
  <c r="BA177" i="25"/>
  <c r="BB177" i="25"/>
  <c r="BQ177" i="25" s="1"/>
  <c r="BC177" i="25"/>
  <c r="BR177" i="25" s="1"/>
  <c r="BB158" i="25"/>
  <c r="BQ158" i="25" s="1"/>
  <c r="BA158" i="25"/>
  <c r="BC158" i="25"/>
  <c r="BR158" i="25" s="1"/>
  <c r="BB164" i="25"/>
  <c r="BQ164" i="25" s="1"/>
  <c r="BA164" i="25"/>
  <c r="BC164" i="25"/>
  <c r="BR164" i="25" s="1"/>
  <c r="BA183" i="25"/>
  <c r="BB183" i="25"/>
  <c r="BQ183" i="25" s="1"/>
  <c r="BC183" i="25"/>
  <c r="BR183" i="25" s="1"/>
  <c r="BB145" i="25"/>
  <c r="BQ145" i="25" s="1"/>
  <c r="BC145" i="25"/>
  <c r="BR145" i="25" s="1"/>
  <c r="BA145" i="25"/>
  <c r="BB113" i="25"/>
  <c r="BQ113" i="25" s="1"/>
  <c r="BA113" i="25"/>
  <c r="BC113" i="25"/>
  <c r="BR113" i="25" s="1"/>
  <c r="BC156" i="25"/>
  <c r="BR156" i="25" s="1"/>
  <c r="BA156" i="25"/>
  <c r="BB156" i="25"/>
  <c r="BQ156" i="25" s="1"/>
  <c r="BB197" i="25"/>
  <c r="BQ197" i="25" s="1"/>
  <c r="BC197" i="25"/>
  <c r="BR197" i="25" s="1"/>
  <c r="BA197" i="25"/>
  <c r="BA119" i="25"/>
  <c r="BC119" i="25"/>
  <c r="BR119" i="25" s="1"/>
  <c r="BB119" i="25"/>
  <c r="BQ119" i="25" s="1"/>
  <c r="BB163" i="25"/>
  <c r="BQ163" i="25" s="1"/>
  <c r="BA163" i="25"/>
  <c r="BC163" i="25"/>
  <c r="BR163" i="25" s="1"/>
  <c r="BB150" i="25"/>
  <c r="BQ150" i="25" s="1"/>
  <c r="BC150" i="25"/>
  <c r="BR150" i="25" s="1"/>
  <c r="BA150" i="25"/>
  <c r="BC186" i="25"/>
  <c r="BR186" i="25" s="1"/>
  <c r="BB186" i="25"/>
  <c r="BQ186" i="25" s="1"/>
  <c r="BA186" i="25"/>
  <c r="BA206" i="25"/>
  <c r="BB206" i="25"/>
  <c r="BQ206" i="25" s="1"/>
  <c r="BC206" i="25"/>
  <c r="BR206" i="25" s="1"/>
  <c r="BA202" i="25"/>
  <c r="BB202" i="25"/>
  <c r="BQ202" i="25" s="1"/>
  <c r="BC202" i="25"/>
  <c r="BR202" i="25" s="1"/>
  <c r="BC111" i="25"/>
  <c r="BR111" i="25" s="1"/>
  <c r="BB111" i="25"/>
  <c r="BQ111" i="25" s="1"/>
  <c r="BA111" i="25"/>
  <c r="BC201" i="25"/>
  <c r="BR201" i="25" s="1"/>
  <c r="BA201" i="25"/>
  <c r="BB201" i="25"/>
  <c r="BQ201" i="25" s="1"/>
  <c r="BB180" i="25"/>
  <c r="BQ180" i="25" s="1"/>
  <c r="BC180" i="25"/>
  <c r="BR180" i="25" s="1"/>
  <c r="BA180" i="25"/>
  <c r="BA199" i="25"/>
  <c r="BB199" i="25"/>
  <c r="BQ199" i="25" s="1"/>
  <c r="BC199" i="25"/>
  <c r="BR199" i="25" s="1"/>
  <c r="BC209" i="25"/>
  <c r="BR209" i="25" s="1"/>
  <c r="BB209" i="25"/>
  <c r="BQ209" i="25" s="1"/>
  <c r="BA209" i="25"/>
  <c r="BC171" i="25"/>
  <c r="BR171" i="25" s="1"/>
  <c r="BA171" i="25"/>
  <c r="BB171" i="25"/>
  <c r="BQ171" i="25" s="1"/>
  <c r="BA120" i="25"/>
  <c r="BB120" i="25"/>
  <c r="BQ120" i="25" s="1"/>
  <c r="BC120" i="25"/>
  <c r="BR120" i="25" s="1"/>
  <c r="BA170" i="25"/>
  <c r="BB170" i="25"/>
  <c r="BQ170" i="25" s="1"/>
  <c r="BC170" i="25"/>
  <c r="BR170" i="25" s="1"/>
  <c r="BA204" i="25"/>
  <c r="BB204" i="25"/>
  <c r="BQ204" i="25" s="1"/>
  <c r="BC204" i="25"/>
  <c r="BR204" i="25" s="1"/>
  <c r="BA192" i="25"/>
  <c r="BB192" i="25"/>
  <c r="BQ192" i="25" s="1"/>
  <c r="BC192" i="25"/>
  <c r="BR192" i="25" s="1"/>
  <c r="BB161" i="25"/>
  <c r="BQ161" i="25" s="1"/>
  <c r="BA161" i="25"/>
  <c r="BC161" i="25"/>
  <c r="BR161" i="25" s="1"/>
  <c r="BC114" i="25"/>
  <c r="BR114" i="25" s="1"/>
  <c r="BA114" i="25"/>
  <c r="BB114" i="25"/>
  <c r="BQ114" i="25" s="1"/>
  <c r="BC139" i="25"/>
  <c r="BR139" i="25" s="1"/>
  <c r="BB139" i="25"/>
  <c r="BQ139" i="25" s="1"/>
  <c r="BA139" i="25"/>
  <c r="BA152" i="25"/>
  <c r="BB152" i="25"/>
  <c r="BQ152" i="25" s="1"/>
  <c r="BC152" i="25"/>
  <c r="BR152" i="25" s="1"/>
  <c r="BA159" i="25"/>
  <c r="BB159" i="25"/>
  <c r="BQ159" i="25" s="1"/>
  <c r="BC159" i="25"/>
  <c r="BR159" i="25" s="1"/>
  <c r="BA198" i="25"/>
  <c r="BB198" i="25"/>
  <c r="BQ198" i="25" s="1"/>
  <c r="BC198" i="25"/>
  <c r="BR198" i="25" s="1"/>
  <c r="BA174" i="25"/>
  <c r="BC174" i="25"/>
  <c r="BR174" i="25" s="1"/>
  <c r="BB174" i="25"/>
  <c r="BQ174" i="25" s="1"/>
  <c r="BC196" i="25"/>
  <c r="BR196" i="25" s="1"/>
  <c r="BB196" i="25"/>
  <c r="BQ196" i="25" s="1"/>
  <c r="BA196" i="25"/>
  <c r="BB195" i="25"/>
  <c r="BQ195" i="25" s="1"/>
  <c r="BC195" i="25"/>
  <c r="BR195" i="25" s="1"/>
  <c r="BA195" i="25"/>
  <c r="BC126" i="25"/>
  <c r="BR126" i="25" s="1"/>
  <c r="BB126" i="25"/>
  <c r="BQ126" i="25" s="1"/>
  <c r="BA126" i="25"/>
  <c r="BA188" i="25"/>
  <c r="BB188" i="25"/>
  <c r="BQ188" i="25" s="1"/>
  <c r="BC188" i="25"/>
  <c r="BR188" i="25" s="1"/>
  <c r="BA133" i="25"/>
  <c r="BB133" i="25"/>
  <c r="BQ133" i="25" s="1"/>
  <c r="BC133" i="25"/>
  <c r="BR133" i="25" s="1"/>
  <c r="BA118" i="25"/>
  <c r="BC118" i="25"/>
  <c r="BR118" i="25" s="1"/>
  <c r="BB118" i="25"/>
  <c r="BQ118" i="25" s="1"/>
  <c r="BB153" i="25"/>
  <c r="BQ153" i="25" s="1"/>
  <c r="BC153" i="25"/>
  <c r="BR153" i="25" s="1"/>
  <c r="BA153" i="25"/>
  <c r="BA190" i="25"/>
  <c r="BC190" i="25"/>
  <c r="BR190" i="25" s="1"/>
  <c r="BB190" i="25"/>
  <c r="BQ190" i="25" s="1"/>
  <c r="BC154" i="25"/>
  <c r="BR154" i="25" s="1"/>
  <c r="BA154" i="25"/>
  <c r="BB154" i="25"/>
  <c r="BQ154" i="25" s="1"/>
  <c r="BA146" i="25"/>
  <c r="BC146" i="25"/>
  <c r="BR146" i="25" s="1"/>
  <c r="BB146" i="25"/>
  <c r="BQ146" i="25" s="1"/>
  <c r="BC117" i="25"/>
  <c r="BR117" i="25" s="1"/>
  <c r="BB117" i="25"/>
  <c r="BQ117" i="25" s="1"/>
  <c r="BA117" i="25"/>
  <c r="BA157" i="25"/>
  <c r="BC157" i="25"/>
  <c r="BR157" i="25" s="1"/>
  <c r="BB157" i="25"/>
  <c r="BQ157" i="25" s="1"/>
  <c r="BA193" i="25"/>
  <c r="BB193" i="25"/>
  <c r="BQ193" i="25" s="1"/>
  <c r="BC193" i="25"/>
  <c r="BR193" i="25" s="1"/>
  <c r="BA137" i="25"/>
  <c r="BC137" i="25"/>
  <c r="BR137" i="25" s="1"/>
  <c r="BB137" i="25"/>
  <c r="BQ137" i="25" s="1"/>
  <c r="BC165" i="25"/>
  <c r="BR165" i="25" s="1"/>
  <c r="BB165" i="25"/>
  <c r="BQ165" i="25" s="1"/>
  <c r="BA165" i="25"/>
  <c r="BA155" i="25"/>
  <c r="BC155" i="25"/>
  <c r="BR155" i="25" s="1"/>
  <c r="BB155" i="25"/>
  <c r="BQ155" i="25" s="1"/>
  <c r="BA132" i="25"/>
  <c r="BC132" i="25"/>
  <c r="BR132" i="25" s="1"/>
  <c r="BB132" i="25"/>
  <c r="BQ132" i="25" s="1"/>
  <c r="BA131" i="25"/>
  <c r="BB131" i="25"/>
  <c r="BQ131" i="25" s="1"/>
  <c r="BC131" i="25"/>
  <c r="BR131" i="25" s="1"/>
  <c r="BC138" i="25"/>
  <c r="BR138" i="25" s="1"/>
  <c r="BB138" i="25"/>
  <c r="BQ138" i="25" s="1"/>
  <c r="BA138" i="25"/>
  <c r="BC189" i="25"/>
  <c r="BR189" i="25" s="1"/>
  <c r="BA189" i="25"/>
  <c r="BB189" i="25"/>
  <c r="BQ189" i="25" s="1"/>
  <c r="BA181" i="25"/>
  <c r="BB181" i="25"/>
  <c r="BQ181" i="25" s="1"/>
  <c r="BC181" i="25"/>
  <c r="BR181" i="25" s="1"/>
  <c r="BC144" i="25"/>
  <c r="BR144" i="25" s="1"/>
  <c r="BA144" i="25"/>
  <c r="BB144" i="25"/>
  <c r="BQ144" i="25" s="1"/>
  <c r="BA205" i="25"/>
  <c r="BB205" i="25"/>
  <c r="BQ205" i="25" s="1"/>
  <c r="BC205" i="25"/>
  <c r="BR205" i="25" s="1"/>
  <c r="BA160" i="25"/>
  <c r="BB160" i="25"/>
  <c r="BQ160" i="25" s="1"/>
  <c r="BC160" i="25"/>
  <c r="BR160" i="25" s="1"/>
  <c r="BC112" i="25"/>
  <c r="BR112" i="25" s="1"/>
  <c r="BB112" i="25"/>
  <c r="BQ112" i="25" s="1"/>
  <c r="BA112" i="25"/>
  <c r="BA178" i="25"/>
  <c r="BB178" i="25"/>
  <c r="BQ178" i="25" s="1"/>
  <c r="BC178" i="25"/>
  <c r="BR178" i="25" s="1"/>
  <c r="BC115" i="25"/>
  <c r="BR115" i="25" s="1"/>
  <c r="BA115" i="25"/>
  <c r="BB115" i="25"/>
  <c r="BQ115" i="25" s="1"/>
  <c r="BC122" i="25"/>
  <c r="BR122" i="25" s="1"/>
  <c r="BA122" i="25"/>
  <c r="BB122" i="25"/>
  <c r="BQ122" i="25" s="1"/>
  <c r="BC194" i="25"/>
  <c r="BR194" i="25" s="1"/>
  <c r="BA194" i="25"/>
  <c r="BB194" i="25"/>
  <c r="BQ194" i="25" s="1"/>
  <c r="BA121" i="25"/>
  <c r="BB121" i="25"/>
  <c r="BQ121" i="25" s="1"/>
  <c r="BC121" i="25"/>
  <c r="BR121" i="25" s="1"/>
  <c r="BB136" i="25"/>
  <c r="BQ136" i="25" s="1"/>
  <c r="BA136" i="25"/>
  <c r="BC136" i="25"/>
  <c r="BR136" i="25" s="1"/>
  <c r="BC148" i="25"/>
  <c r="BR148" i="25" s="1"/>
  <c r="BB148" i="25"/>
  <c r="BQ148" i="25" s="1"/>
  <c r="BA148" i="25"/>
  <c r="BB175" i="25"/>
  <c r="BQ175" i="25" s="1"/>
  <c r="BC175" i="25"/>
  <c r="BR175" i="25" s="1"/>
  <c r="BA175" i="25"/>
  <c r="BC191" i="25"/>
  <c r="BR191" i="25" s="1"/>
  <c r="BA191" i="25"/>
  <c r="BB191" i="25"/>
  <c r="BQ191" i="25" s="1"/>
  <c r="BA210" i="25"/>
  <c r="BC210" i="25"/>
  <c r="BR210" i="25" s="1"/>
  <c r="BB210" i="25"/>
  <c r="BQ210" i="25" s="1"/>
  <c r="AU122" i="24"/>
  <c r="AW167" i="24"/>
  <c r="BE167" i="24" s="1"/>
  <c r="BR167" i="24" s="1"/>
  <c r="AW115" i="24"/>
  <c r="BE115" i="24" s="1"/>
  <c r="BR115" i="24" s="1"/>
  <c r="AW165" i="24"/>
  <c r="BE165" i="24" s="1"/>
  <c r="BR165" i="24" s="1"/>
  <c r="BE120" i="24"/>
  <c r="BR120" i="24" s="1"/>
  <c r="BD120" i="24"/>
  <c r="AY120" i="24"/>
  <c r="AZ120" i="24" s="1"/>
  <c r="BE145" i="24"/>
  <c r="BR145" i="24" s="1"/>
  <c r="AY145" i="24"/>
  <c r="AZ145" i="24" s="1"/>
  <c r="BD145" i="24"/>
  <c r="BD154" i="24"/>
  <c r="BE154" i="24"/>
  <c r="BR154" i="24" s="1"/>
  <c r="AY154" i="24"/>
  <c r="AZ154" i="24" s="1"/>
  <c r="BD122" i="24"/>
  <c r="BE122" i="24"/>
  <c r="BR122" i="24" s="1"/>
  <c r="AY122" i="24"/>
  <c r="AZ122" i="24" s="1"/>
  <c r="BD116" i="24"/>
  <c r="AY116" i="24"/>
  <c r="AZ116" i="24" s="1"/>
  <c r="BE116" i="24"/>
  <c r="BR116" i="24" s="1"/>
  <c r="BD139" i="24"/>
  <c r="BE139" i="24"/>
  <c r="BR139" i="24" s="1"/>
  <c r="AY139" i="24"/>
  <c r="AZ139" i="24" s="1"/>
  <c r="BE175" i="24"/>
  <c r="BR175" i="24" s="1"/>
  <c r="AY175" i="24"/>
  <c r="AZ175" i="24" s="1"/>
  <c r="BD175" i="24"/>
  <c r="BE200" i="24"/>
  <c r="BR200" i="24" s="1"/>
  <c r="BD200" i="24"/>
  <c r="AY200" i="24"/>
  <c r="AZ200" i="24" s="1"/>
  <c r="BD183" i="24"/>
  <c r="AY183" i="24"/>
  <c r="AZ183" i="24" s="1"/>
  <c r="BE183" i="24"/>
  <c r="BR183" i="24" s="1"/>
  <c r="BD118" i="24"/>
  <c r="AY118" i="24"/>
  <c r="AZ118" i="24" s="1"/>
  <c r="BE118" i="24"/>
  <c r="BR118" i="24" s="1"/>
  <c r="AY124" i="24"/>
  <c r="AZ124" i="24" s="1"/>
  <c r="BE124" i="24"/>
  <c r="BR124" i="24" s="1"/>
  <c r="BD124" i="24"/>
  <c r="AY158" i="24"/>
  <c r="AZ158" i="24" s="1"/>
  <c r="BD158" i="24"/>
  <c r="BE158" i="24"/>
  <c r="BR158" i="24" s="1"/>
  <c r="BE151" i="24"/>
  <c r="BR151" i="24" s="1"/>
  <c r="AY151" i="24"/>
  <c r="AZ151" i="24" s="1"/>
  <c r="BD151" i="24"/>
  <c r="AY185" i="24"/>
  <c r="AZ185" i="24" s="1"/>
  <c r="BE185" i="24"/>
  <c r="BR185" i="24" s="1"/>
  <c r="BD185" i="24"/>
  <c r="BD131" i="24"/>
  <c r="AY131" i="24"/>
  <c r="AZ131" i="24" s="1"/>
  <c r="BE131" i="24"/>
  <c r="BR131" i="24" s="1"/>
  <c r="BD205" i="24"/>
  <c r="BE205" i="24"/>
  <c r="BR205" i="24" s="1"/>
  <c r="AY205" i="24"/>
  <c r="AZ205" i="24" s="1"/>
  <c r="BD204" i="24"/>
  <c r="BE204" i="24"/>
  <c r="BR204" i="24" s="1"/>
  <c r="AY204" i="24"/>
  <c r="AZ204" i="24" s="1"/>
  <c r="BE132" i="24"/>
  <c r="BR132" i="24" s="1"/>
  <c r="BD132" i="24"/>
  <c r="AY132" i="24"/>
  <c r="AZ132" i="24" s="1"/>
  <c r="BE135" i="24"/>
  <c r="BR135" i="24" s="1"/>
  <c r="BD135" i="24"/>
  <c r="AY135" i="24"/>
  <c r="AZ135" i="24" s="1"/>
  <c r="BD207" i="24"/>
  <c r="BE207" i="24"/>
  <c r="BR207" i="24" s="1"/>
  <c r="AY207" i="24"/>
  <c r="AZ207" i="24" s="1"/>
  <c r="BD163" i="24"/>
  <c r="AY163" i="24"/>
  <c r="AZ163" i="24" s="1"/>
  <c r="BE163" i="24"/>
  <c r="BR163" i="24" s="1"/>
  <c r="BD184" i="24"/>
  <c r="AY184" i="24"/>
  <c r="AZ184" i="24" s="1"/>
  <c r="BE184" i="24"/>
  <c r="BR184" i="24" s="1"/>
  <c r="BD162" i="24"/>
  <c r="BE162" i="24"/>
  <c r="BR162" i="24" s="1"/>
  <c r="AY162" i="24"/>
  <c r="AZ162" i="24" s="1"/>
  <c r="BD117" i="24"/>
  <c r="AY117" i="24"/>
  <c r="AZ117" i="24" s="1"/>
  <c r="BE117" i="24"/>
  <c r="BR117" i="24" s="1"/>
  <c r="BD128" i="24"/>
  <c r="AY128" i="24"/>
  <c r="AZ128" i="24" s="1"/>
  <c r="BE128" i="24"/>
  <c r="BR128" i="24" s="1"/>
  <c r="BE164" i="24"/>
  <c r="BR164" i="24" s="1"/>
  <c r="BD164" i="24"/>
  <c r="AY164" i="24"/>
  <c r="AZ164" i="24" s="1"/>
  <c r="AY179" i="24"/>
  <c r="AZ179" i="24" s="1"/>
  <c r="BD179" i="24"/>
  <c r="BE179" i="24"/>
  <c r="BR179" i="24" s="1"/>
  <c r="BD138" i="24"/>
  <c r="BE138" i="24"/>
  <c r="BR138" i="24" s="1"/>
  <c r="AY138" i="24"/>
  <c r="AZ138" i="24" s="1"/>
  <c r="BD148" i="24"/>
  <c r="AY148" i="24"/>
  <c r="AZ148" i="24" s="1"/>
  <c r="BE148" i="24"/>
  <c r="BR148" i="24" s="1"/>
  <c r="BD111" i="24"/>
  <c r="BE111" i="24"/>
  <c r="BR111" i="24" s="1"/>
  <c r="AY111" i="24"/>
  <c r="AZ111" i="24" s="1"/>
  <c r="BE143" i="24"/>
  <c r="BR143" i="24" s="1"/>
  <c r="BD143" i="24"/>
  <c r="AY143" i="24"/>
  <c r="AZ143" i="24" s="1"/>
  <c r="AY160" i="24"/>
  <c r="AZ160" i="24" s="1"/>
  <c r="BE160" i="24"/>
  <c r="BR160" i="24" s="1"/>
  <c r="BD160" i="24"/>
  <c r="BD166" i="24"/>
  <c r="BE153" i="24"/>
  <c r="BR153" i="24" s="1"/>
  <c r="BD153" i="24"/>
  <c r="AY153" i="24"/>
  <c r="AZ153" i="24" s="1"/>
  <c r="AY177" i="24"/>
  <c r="AZ177" i="24" s="1"/>
  <c r="BE177" i="24"/>
  <c r="BR177" i="24" s="1"/>
  <c r="BD177" i="24"/>
  <c r="AY142" i="24"/>
  <c r="AZ142" i="24" s="1"/>
  <c r="BD142" i="24"/>
  <c r="BE142" i="24"/>
  <c r="BR142" i="24" s="1"/>
  <c r="BD178" i="24"/>
  <c r="AY178" i="24"/>
  <c r="AZ178" i="24" s="1"/>
  <c r="BE178" i="24"/>
  <c r="BR178" i="24" s="1"/>
  <c r="BE171" i="24"/>
  <c r="BR171" i="24" s="1"/>
  <c r="BD171" i="24"/>
  <c r="AY171" i="24"/>
  <c r="AZ171" i="24" s="1"/>
  <c r="BE121" i="24"/>
  <c r="BR121" i="24" s="1"/>
  <c r="AY121" i="24"/>
  <c r="AZ121" i="24" s="1"/>
  <c r="BD121" i="24"/>
  <c r="AY180" i="24"/>
  <c r="AZ180" i="24" s="1"/>
  <c r="BE180" i="24"/>
  <c r="BR180" i="24" s="1"/>
  <c r="BD180" i="24"/>
  <c r="AY187" i="24"/>
  <c r="AZ187" i="24" s="1"/>
  <c r="BE187" i="24"/>
  <c r="BR187" i="24" s="1"/>
  <c r="BD187" i="24"/>
  <c r="AY197" i="24"/>
  <c r="AZ197" i="24" s="1"/>
  <c r="BD197" i="24"/>
  <c r="BE197" i="24"/>
  <c r="BR197" i="24" s="1"/>
  <c r="AY190" i="24"/>
  <c r="AZ190" i="24" s="1"/>
  <c r="BD190" i="24"/>
  <c r="BE190" i="24"/>
  <c r="BR190" i="24" s="1"/>
  <c r="AY137" i="24"/>
  <c r="AZ137" i="24" s="1"/>
  <c r="BE137" i="24"/>
  <c r="BR137" i="24" s="1"/>
  <c r="BD137" i="24"/>
  <c r="BD173" i="24"/>
  <c r="BE173" i="24"/>
  <c r="BR173" i="24" s="1"/>
  <c r="AY173" i="24"/>
  <c r="AZ173" i="24" s="1"/>
  <c r="BD125" i="24"/>
  <c r="BE125" i="24"/>
  <c r="BR125" i="24" s="1"/>
  <c r="AY125" i="24"/>
  <c r="AZ125" i="24" s="1"/>
  <c r="BE113" i="24"/>
  <c r="BR113" i="24" s="1"/>
  <c r="AY113" i="24"/>
  <c r="AZ113" i="24" s="1"/>
  <c r="BD113" i="24"/>
  <c r="BD129" i="24"/>
  <c r="BE129" i="24"/>
  <c r="BR129" i="24" s="1"/>
  <c r="AY129" i="24"/>
  <c r="AZ129" i="24" s="1"/>
  <c r="BD201" i="24"/>
  <c r="AY201" i="24"/>
  <c r="AZ201" i="24" s="1"/>
  <c r="BE201" i="24"/>
  <c r="BR201" i="24" s="1"/>
  <c r="BE186" i="24"/>
  <c r="BR186" i="24" s="1"/>
  <c r="AY186" i="24"/>
  <c r="AZ186" i="24" s="1"/>
  <c r="BD186" i="24"/>
  <c r="BD147" i="24"/>
  <c r="AY147" i="24"/>
  <c r="AZ147" i="24" s="1"/>
  <c r="BE147" i="24"/>
  <c r="BR147" i="24" s="1"/>
  <c r="BE152" i="24"/>
  <c r="BR152" i="24" s="1"/>
  <c r="BD152" i="24"/>
  <c r="AY152" i="24"/>
  <c r="AZ152" i="24" s="1"/>
  <c r="BD126" i="24"/>
  <c r="BE126" i="24"/>
  <c r="BR126" i="24" s="1"/>
  <c r="AY126" i="24"/>
  <c r="AZ126" i="24" s="1"/>
  <c r="BE127" i="24"/>
  <c r="BR127" i="24" s="1"/>
  <c r="AY127" i="24"/>
  <c r="AZ127" i="24" s="1"/>
  <c r="BD127" i="24"/>
  <c r="BE140" i="24"/>
  <c r="BR140" i="24" s="1"/>
  <c r="BD140" i="24"/>
  <c r="AY140" i="24"/>
  <c r="AZ140" i="24" s="1"/>
  <c r="BD144" i="24"/>
  <c r="AY144" i="24"/>
  <c r="AZ144" i="24" s="1"/>
  <c r="BE144" i="24"/>
  <c r="BR144" i="24" s="1"/>
  <c r="BE202" i="24"/>
  <c r="BR202" i="24" s="1"/>
  <c r="AY202" i="24"/>
  <c r="AZ202" i="24" s="1"/>
  <c r="BD202" i="24"/>
  <c r="BD196" i="24"/>
  <c r="AY196" i="24"/>
  <c r="AZ196" i="24" s="1"/>
  <c r="BE196" i="24"/>
  <c r="BR196" i="24" s="1"/>
  <c r="AY157" i="24"/>
  <c r="AZ157" i="24" s="1"/>
  <c r="BE157" i="24"/>
  <c r="BR157" i="24" s="1"/>
  <c r="BD157" i="24"/>
  <c r="AY174" i="24"/>
  <c r="AZ174" i="24" s="1"/>
  <c r="BD174" i="24"/>
  <c r="BE174" i="24"/>
  <c r="BR174" i="24" s="1"/>
  <c r="BE198" i="24"/>
  <c r="BR198" i="24" s="1"/>
  <c r="AY198" i="24"/>
  <c r="AZ198" i="24" s="1"/>
  <c r="BD198" i="24"/>
  <c r="BD150" i="24"/>
  <c r="AY150" i="24"/>
  <c r="AZ150" i="24" s="1"/>
  <c r="BE150" i="24"/>
  <c r="BR150" i="24" s="1"/>
  <c r="BE170" i="24"/>
  <c r="BR170" i="24" s="1"/>
  <c r="AY170" i="24"/>
  <c r="AZ170" i="24" s="1"/>
  <c r="BD170" i="24"/>
  <c r="BD146" i="24"/>
  <c r="BE146" i="24"/>
  <c r="BR146" i="24" s="1"/>
  <c r="AY146" i="24"/>
  <c r="AZ146" i="24" s="1"/>
  <c r="BT58" i="24"/>
  <c r="CB58" i="24"/>
  <c r="BA58" i="25"/>
  <c r="BP58" i="25" s="1"/>
  <c r="BB58" i="25"/>
  <c r="AZ69" i="24"/>
  <c r="AZ95" i="24"/>
  <c r="AU152" i="24"/>
  <c r="AZ91" i="24"/>
  <c r="AZ78" i="24"/>
  <c r="AX15" i="24"/>
  <c r="BT15" i="24"/>
  <c r="AX88" i="24"/>
  <c r="BT88" i="24"/>
  <c r="BT67" i="24"/>
  <c r="BT103" i="24"/>
  <c r="BT90" i="24"/>
  <c r="BT94" i="24"/>
  <c r="AZ87" i="24"/>
  <c r="AZ105" i="24"/>
  <c r="BT9" i="24"/>
  <c r="AQ99" i="24"/>
  <c r="BT99" i="24"/>
  <c r="AQ102" i="24"/>
  <c r="BT102" i="24"/>
  <c r="AQ13" i="24"/>
  <c r="BT13" i="24"/>
  <c r="BT71" i="24"/>
  <c r="BT93" i="24"/>
  <c r="CB6" i="24"/>
  <c r="BT6" i="24"/>
  <c r="BT77" i="24"/>
  <c r="AU278" i="24"/>
  <c r="AU78" i="24"/>
  <c r="BB78" i="24" s="1"/>
  <c r="AU217" i="24"/>
  <c r="AW305" i="24"/>
  <c r="AW182" i="24"/>
  <c r="AU70" i="24"/>
  <c r="BB70" i="24" s="1"/>
  <c r="AW193" i="24"/>
  <c r="AZ70" i="24"/>
  <c r="AX49" i="24"/>
  <c r="CB49" i="24"/>
  <c r="AW203" i="24"/>
  <c r="AW260" i="24"/>
  <c r="AU132" i="24"/>
  <c r="AZ60" i="24"/>
  <c r="AW238" i="24"/>
  <c r="AW289" i="24"/>
  <c r="AU128" i="24"/>
  <c r="AW191" i="24"/>
  <c r="AW73" i="24"/>
  <c r="AY73" i="24" s="1"/>
  <c r="AZ73" i="24" s="1"/>
  <c r="AW33" i="24"/>
  <c r="AY33" i="24" s="1"/>
  <c r="AZ33" i="24" s="1"/>
  <c r="AW176" i="24"/>
  <c r="AW159" i="24"/>
  <c r="AU255" i="24"/>
  <c r="AW114" i="24"/>
  <c r="AW242" i="24"/>
  <c r="AU226" i="24"/>
  <c r="AW311" i="24"/>
  <c r="AW291" i="24"/>
  <c r="AW312" i="24"/>
  <c r="AU204" i="24"/>
  <c r="AW189" i="24"/>
  <c r="AW225" i="24"/>
  <c r="AW209" i="24"/>
  <c r="AU147" i="24"/>
  <c r="AU146" i="24"/>
  <c r="AU81" i="24"/>
  <c r="BB81" i="24" s="1"/>
  <c r="AZ55" i="24"/>
  <c r="AW181" i="24"/>
  <c r="AW130" i="24"/>
  <c r="AU55" i="24"/>
  <c r="BB55" i="24" s="1"/>
  <c r="AW295" i="24"/>
  <c r="AU170" i="24"/>
  <c r="AQ98" i="24"/>
  <c r="CB98" i="24"/>
  <c r="AU25" i="24"/>
  <c r="BB25" i="24" s="1"/>
  <c r="AW206" i="24"/>
  <c r="AW168" i="24"/>
  <c r="AW265" i="24"/>
  <c r="AU308" i="24"/>
  <c r="AW188" i="24"/>
  <c r="AU150" i="24"/>
  <c r="AU198" i="24"/>
  <c r="AW195" i="24"/>
  <c r="AW156" i="24"/>
  <c r="AW284" i="24"/>
  <c r="AW232" i="24"/>
  <c r="AW306" i="24"/>
  <c r="AU162" i="24"/>
  <c r="AW112" i="24"/>
  <c r="AU117" i="24"/>
  <c r="AU10" i="24"/>
  <c r="BB10" i="24" s="1"/>
  <c r="AU174" i="24"/>
  <c r="AW199" i="24"/>
  <c r="BD104" i="24"/>
  <c r="BG104" i="24" s="1"/>
  <c r="BL104" i="24" s="1"/>
  <c r="AZ10" i="24"/>
  <c r="AW136" i="24"/>
  <c r="AW51" i="24"/>
  <c r="AY51" i="24" s="1"/>
  <c r="AZ51" i="24" s="1"/>
  <c r="AU205" i="24"/>
  <c r="AU60" i="24"/>
  <c r="BB60" i="24" s="1"/>
  <c r="AW123" i="24"/>
  <c r="AU184" i="24"/>
  <c r="AU163" i="24"/>
  <c r="AW208" i="24"/>
  <c r="AW119" i="24"/>
  <c r="AZ101" i="24"/>
  <c r="AW110" i="24"/>
  <c r="AU196" i="24"/>
  <c r="AU95" i="24"/>
  <c r="BB95" i="24" s="1"/>
  <c r="AW141" i="24"/>
  <c r="AU157" i="24"/>
  <c r="AW86" i="24"/>
  <c r="AY86" i="24" s="1"/>
  <c r="AZ86" i="24" s="1"/>
  <c r="AW149" i="24"/>
  <c r="AU186" i="24"/>
  <c r="AZ41" i="24"/>
  <c r="AU101" i="24"/>
  <c r="BB101" i="24" s="1"/>
  <c r="AW23" i="24"/>
  <c r="AY23" i="24" s="1"/>
  <c r="AZ23" i="24" s="1"/>
  <c r="AW194" i="24"/>
  <c r="AW192" i="24"/>
  <c r="AU131" i="24"/>
  <c r="AU41" i="24"/>
  <c r="BB41" i="24" s="1"/>
  <c r="AU105" i="24"/>
  <c r="B127" i="2" s="1"/>
  <c r="AW97" i="24"/>
  <c r="AY97" i="24" s="1"/>
  <c r="AZ97" i="24" s="1"/>
  <c r="AW210" i="24"/>
  <c r="AW172" i="24"/>
  <c r="AW161" i="24"/>
  <c r="AW43" i="24"/>
  <c r="AY43" i="24" s="1"/>
  <c r="AZ43" i="24" s="1"/>
  <c r="AW64" i="24"/>
  <c r="AY64" i="24" s="1"/>
  <c r="AZ64" i="24" s="1"/>
  <c r="BE104" i="24"/>
  <c r="BR104" i="24" s="1"/>
  <c r="AU14" i="24"/>
  <c r="BB14" i="24" s="1"/>
  <c r="AW27" i="24"/>
  <c r="AY27" i="24" s="1"/>
  <c r="AZ27" i="24" s="1"/>
  <c r="AQ88" i="24"/>
  <c r="AU207" i="24"/>
  <c r="AZ14" i="24"/>
  <c r="AW155" i="24"/>
  <c r="BJ49" i="24"/>
  <c r="AS49" i="24"/>
  <c r="AW49" i="24" s="1"/>
  <c r="AY49" i="24" s="1"/>
  <c r="BJ88" i="24"/>
  <c r="BS88" i="24"/>
  <c r="AU50" i="24"/>
  <c r="BB50" i="24" s="1"/>
  <c r="BH88" i="24"/>
  <c r="AS88" i="24"/>
  <c r="AW88" i="24" s="1"/>
  <c r="AY88" i="24" s="1"/>
  <c r="BI88" i="24"/>
  <c r="AW169" i="24"/>
  <c r="AU91" i="24"/>
  <c r="BB91" i="24" s="1"/>
  <c r="AQ49" i="24"/>
  <c r="BS13" i="24"/>
  <c r="AW134" i="24"/>
  <c r="BH49" i="24"/>
  <c r="AW65" i="24"/>
  <c r="AY65" i="24" s="1"/>
  <c r="AZ65" i="24" s="1"/>
  <c r="AU110" i="25"/>
  <c r="AS71" i="24"/>
  <c r="BS71" i="24"/>
  <c r="AU87" i="24"/>
  <c r="BB87" i="24" s="1"/>
  <c r="AW35" i="24"/>
  <c r="AY35" i="24" s="1"/>
  <c r="AZ35" i="24" s="1"/>
  <c r="BI49" i="24"/>
  <c r="BI71" i="24"/>
  <c r="BH71" i="24"/>
  <c r="AW81" i="24"/>
  <c r="AY81" i="24" s="1"/>
  <c r="AZ81" i="24" s="1"/>
  <c r="BS49" i="24"/>
  <c r="AX71" i="24"/>
  <c r="AQ71" i="24"/>
  <c r="AW22" i="24"/>
  <c r="AY22" i="24" s="1"/>
  <c r="AZ22" i="24" s="1"/>
  <c r="AX13" i="24"/>
  <c r="AS13" i="24"/>
  <c r="BH13" i="24"/>
  <c r="BJ13" i="24"/>
  <c r="BD34" i="24"/>
  <c r="BG34" i="24" s="1"/>
  <c r="BL34" i="24" s="1"/>
  <c r="AS15" i="24"/>
  <c r="BJ15" i="24"/>
  <c r="BI15" i="24"/>
  <c r="AU34" i="24"/>
  <c r="BB34" i="24" s="1"/>
  <c r="BE34" i="24"/>
  <c r="BR34" i="24" s="1"/>
  <c r="BD69" i="24"/>
  <c r="BQ69" i="24" s="1"/>
  <c r="BQ5" i="24"/>
  <c r="BU5" i="24" s="1"/>
  <c r="BE69" i="24"/>
  <c r="BR69" i="24" s="1"/>
  <c r="AU69" i="24"/>
  <c r="BB69" i="24" s="1"/>
  <c r="BH15" i="24"/>
  <c r="BS15" i="24"/>
  <c r="AQ15" i="24"/>
  <c r="AU22" i="24"/>
  <c r="BB22" i="24" s="1"/>
  <c r="BI102" i="24"/>
  <c r="AS102" i="24"/>
  <c r="BH102" i="24"/>
  <c r="AX102" i="24"/>
  <c r="BJ102" i="24"/>
  <c r="BS102" i="24"/>
  <c r="BH48" i="24"/>
  <c r="AX48" i="24"/>
  <c r="BI48" i="24"/>
  <c r="AQ48" i="24"/>
  <c r="BS48" i="24"/>
  <c r="BJ48" i="24"/>
  <c r="AS48" i="24"/>
  <c r="AX93" i="24"/>
  <c r="BI93" i="24"/>
  <c r="AS93" i="24"/>
  <c r="BH93" i="24"/>
  <c r="BJ93" i="24"/>
  <c r="AQ93" i="24"/>
  <c r="BS93" i="24"/>
  <c r="AX8" i="24"/>
  <c r="BJ8" i="24"/>
  <c r="AQ8" i="24"/>
  <c r="BI8" i="24"/>
  <c r="AS8" i="24"/>
  <c r="BH8" i="24"/>
  <c r="BS8" i="24"/>
  <c r="AX37" i="24"/>
  <c r="BI37" i="24"/>
  <c r="AS37" i="24"/>
  <c r="BJ37" i="24"/>
  <c r="AQ37" i="24"/>
  <c r="BS37" i="24"/>
  <c r="BH37" i="24"/>
  <c r="BS94" i="24"/>
  <c r="AX94" i="24"/>
  <c r="AQ94" i="24"/>
  <c r="BH94" i="24"/>
  <c r="BJ94" i="24"/>
  <c r="AS94" i="24"/>
  <c r="BI94" i="24"/>
  <c r="BH16" i="24"/>
  <c r="BS16" i="24"/>
  <c r="BJ16" i="24"/>
  <c r="AQ16" i="24"/>
  <c r="AS16" i="24"/>
  <c r="BI16" i="24"/>
  <c r="AX16" i="24"/>
  <c r="BH75" i="24"/>
  <c r="BJ75" i="24"/>
  <c r="AQ75" i="24"/>
  <c r="AS75" i="24"/>
  <c r="AX75" i="24"/>
  <c r="BI75" i="24"/>
  <c r="BS75" i="24"/>
  <c r="BH57" i="24"/>
  <c r="BI57" i="24"/>
  <c r="BS57" i="24"/>
  <c r="AS57" i="24"/>
  <c r="AQ57" i="24"/>
  <c r="BJ57" i="24"/>
  <c r="AX57" i="24"/>
  <c r="BJ47" i="24"/>
  <c r="AQ47" i="24"/>
  <c r="BI47" i="24"/>
  <c r="AX47" i="24"/>
  <c r="BH47" i="24"/>
  <c r="BS47" i="24"/>
  <c r="AS47" i="24"/>
  <c r="AX99" i="24"/>
  <c r="BH99" i="24"/>
  <c r="AS99" i="24"/>
  <c r="BS99" i="24"/>
  <c r="BJ99" i="24"/>
  <c r="BI99" i="24"/>
  <c r="AX103" i="24"/>
  <c r="AS103" i="24"/>
  <c r="BH103" i="24"/>
  <c r="BI103" i="24"/>
  <c r="BJ103" i="24"/>
  <c r="BS103" i="24"/>
  <c r="BS98" i="24"/>
  <c r="BH98" i="24"/>
  <c r="BI98" i="24"/>
  <c r="AX98" i="24"/>
  <c r="AS98" i="24"/>
  <c r="BJ98" i="24"/>
  <c r="BH45" i="24"/>
  <c r="AS45" i="24"/>
  <c r="AX45" i="24"/>
  <c r="BS45" i="24"/>
  <c r="BJ45" i="24"/>
  <c r="BI45" i="24"/>
  <c r="AQ45" i="24"/>
  <c r="BH24" i="24"/>
  <c r="BJ24" i="24"/>
  <c r="AS24" i="24"/>
  <c r="AX24" i="24"/>
  <c r="AQ24" i="24"/>
  <c r="BS24" i="24"/>
  <c r="BI24" i="24"/>
  <c r="AX58" i="24"/>
  <c r="AS58" i="24"/>
  <c r="BH58" i="24"/>
  <c r="AQ58" i="24"/>
  <c r="BI58" i="24"/>
  <c r="BJ58" i="24"/>
  <c r="BS58" i="24"/>
  <c r="AX84" i="24"/>
  <c r="AQ84" i="24"/>
  <c r="BH84" i="24"/>
  <c r="BJ84" i="24"/>
  <c r="BS84" i="24"/>
  <c r="BI84" i="24"/>
  <c r="AS84" i="24"/>
  <c r="BH12" i="24"/>
  <c r="BJ12" i="24"/>
  <c r="AS12" i="24"/>
  <c r="AX12" i="24"/>
  <c r="BS12" i="24"/>
  <c r="AQ12" i="24"/>
  <c r="BI12" i="24"/>
  <c r="AX38" i="24"/>
  <c r="BI38" i="24"/>
  <c r="AS38" i="24"/>
  <c r="BS38" i="24"/>
  <c r="BJ38" i="24"/>
  <c r="AQ38" i="24"/>
  <c r="BH38" i="24"/>
  <c r="AX9" i="24"/>
  <c r="AS9" i="24"/>
  <c r="BI9" i="24"/>
  <c r="AQ9" i="24"/>
  <c r="BJ9" i="24"/>
  <c r="AX67" i="24"/>
  <c r="BH67" i="24"/>
  <c r="BI67" i="24"/>
  <c r="AS67" i="24"/>
  <c r="BS67" i="24"/>
  <c r="BJ67" i="24"/>
  <c r="AQ67" i="24"/>
  <c r="BS80" i="24"/>
  <c r="BH80" i="24"/>
  <c r="BI80" i="24"/>
  <c r="AS80" i="24"/>
  <c r="AQ80" i="24"/>
  <c r="AX80" i="24"/>
  <c r="BJ80" i="24"/>
  <c r="AX26" i="24"/>
  <c r="BS26" i="24"/>
  <c r="BJ26" i="24"/>
  <c r="BI26" i="24"/>
  <c r="AQ26" i="24"/>
  <c r="BH26" i="24"/>
  <c r="AS26" i="24"/>
  <c r="BH44" i="24"/>
  <c r="BJ44" i="24"/>
  <c r="BS44" i="24"/>
  <c r="BI44" i="24"/>
  <c r="AS44" i="24"/>
  <c r="AX44" i="24"/>
  <c r="AQ44" i="24"/>
  <c r="AX77" i="24"/>
  <c r="BJ77" i="24"/>
  <c r="AQ77" i="24"/>
  <c r="BH77" i="24"/>
  <c r="BS77" i="24"/>
  <c r="BI77" i="24"/>
  <c r="AS77" i="24"/>
  <c r="AX39" i="24"/>
  <c r="AS39" i="24"/>
  <c r="BJ39" i="24"/>
  <c r="BH39" i="24"/>
  <c r="BS39" i="24"/>
  <c r="BI39" i="24"/>
  <c r="AQ39" i="24"/>
  <c r="AX52" i="24"/>
  <c r="BH52" i="24"/>
  <c r="BJ52" i="24"/>
  <c r="AQ52" i="24"/>
  <c r="BS52" i="24"/>
  <c r="BI52" i="24"/>
  <c r="AS52" i="24"/>
  <c r="BS90" i="24"/>
  <c r="BJ90" i="24"/>
  <c r="AX90" i="24"/>
  <c r="AS90" i="24"/>
  <c r="BI90" i="24"/>
  <c r="AQ90" i="24"/>
  <c r="BH90" i="24"/>
  <c r="BH30" i="24"/>
  <c r="AS30" i="24"/>
  <c r="BS30" i="24"/>
  <c r="BI30" i="24"/>
  <c r="BJ30" i="24"/>
  <c r="AX30" i="24"/>
  <c r="AQ30" i="24"/>
  <c r="AX62" i="24"/>
  <c r="BH62" i="24"/>
  <c r="AS62" i="24"/>
  <c r="BS62" i="24"/>
  <c r="BJ62" i="24"/>
  <c r="BI62" i="24"/>
  <c r="AQ62" i="24"/>
  <c r="AX11" i="24"/>
  <c r="AS11" i="24"/>
  <c r="BI11" i="24"/>
  <c r="BJ11" i="24"/>
  <c r="BS11" i="24"/>
  <c r="AQ11" i="24"/>
  <c r="BH11" i="24"/>
  <c r="BH76" i="24"/>
  <c r="BI76" i="24"/>
  <c r="AS76" i="24"/>
  <c r="BS76" i="24"/>
  <c r="AQ76" i="24"/>
  <c r="AX76" i="24"/>
  <c r="BJ76" i="24"/>
  <c r="BH9" i="24"/>
  <c r="AX17" i="24"/>
  <c r="BS17" i="24"/>
  <c r="BI17" i="24"/>
  <c r="BJ17" i="24"/>
  <c r="BH17" i="24"/>
  <c r="AQ17" i="24"/>
  <c r="AS17" i="24"/>
  <c r="AS20" i="24"/>
  <c r="BS20" i="24"/>
  <c r="BJ20" i="24"/>
  <c r="BH20" i="24"/>
  <c r="BI20" i="24"/>
  <c r="AQ20" i="24"/>
  <c r="AX20" i="24"/>
  <c r="BH66" i="24"/>
  <c r="BI66" i="24"/>
  <c r="AS66" i="24"/>
  <c r="BS66" i="24"/>
  <c r="AX66" i="24"/>
  <c r="BJ66" i="24"/>
  <c r="AQ66" i="24"/>
  <c r="AX61" i="24"/>
  <c r="BS61" i="24"/>
  <c r="AS61" i="24"/>
  <c r="BH61" i="24"/>
  <c r="BI61" i="24"/>
  <c r="AQ61" i="24"/>
  <c r="BJ61" i="24"/>
  <c r="BI7" i="24"/>
  <c r="AQ7" i="24"/>
  <c r="AX7" i="24"/>
  <c r="BJ7" i="24"/>
  <c r="AS7" i="24"/>
  <c r="BH7" i="24"/>
  <c r="BS7" i="24"/>
  <c r="AX6" i="24"/>
  <c r="BI6" i="24"/>
  <c r="AS6" i="24"/>
  <c r="BS6" i="24"/>
  <c r="BH6" i="24"/>
  <c r="AQ6" i="24"/>
  <c r="BJ6" i="24"/>
  <c r="BE40" i="24"/>
  <c r="BR40" i="24" s="1"/>
  <c r="AY105" i="25"/>
  <c r="BB8" i="25"/>
  <c r="BC8" i="25"/>
  <c r="BR8" i="25" s="1"/>
  <c r="BB82" i="25"/>
  <c r="BC82" i="25"/>
  <c r="BR82" i="25" s="1"/>
  <c r="BB74" i="25"/>
  <c r="BC74" i="25"/>
  <c r="BR74" i="25" s="1"/>
  <c r="BB45" i="25"/>
  <c r="BC45" i="25"/>
  <c r="BR45" i="25" s="1"/>
  <c r="BB62" i="25"/>
  <c r="BC62" i="25"/>
  <c r="BR62" i="25" s="1"/>
  <c r="BB103" i="25"/>
  <c r="BC103" i="25"/>
  <c r="BR103" i="25" s="1"/>
  <c r="BC44" i="25"/>
  <c r="BR44" i="25" s="1"/>
  <c r="BB44" i="25"/>
  <c r="BC28" i="25"/>
  <c r="BR28" i="25" s="1"/>
  <c r="BB28" i="25"/>
  <c r="BB7" i="25"/>
  <c r="BC7" i="25"/>
  <c r="BR7" i="25" s="1"/>
  <c r="BB101" i="25"/>
  <c r="BC101" i="25"/>
  <c r="BR101" i="25" s="1"/>
  <c r="BB46" i="25"/>
  <c r="BC46" i="25"/>
  <c r="BR46" i="25" s="1"/>
  <c r="BB9" i="25"/>
  <c r="BC9" i="25"/>
  <c r="BR9" i="25" s="1"/>
  <c r="BC78" i="25"/>
  <c r="BR78" i="25" s="1"/>
  <c r="BB78" i="25"/>
  <c r="BB22" i="25"/>
  <c r="BC22" i="25"/>
  <c r="BR22" i="25" s="1"/>
  <c r="BB67" i="25"/>
  <c r="BC67" i="25"/>
  <c r="BR67" i="25" s="1"/>
  <c r="BB51" i="25"/>
  <c r="BC51" i="25"/>
  <c r="BR51" i="25" s="1"/>
  <c r="BB77" i="25"/>
  <c r="BC77" i="25"/>
  <c r="BR77" i="25" s="1"/>
  <c r="BB10" i="25"/>
  <c r="BC10" i="25"/>
  <c r="BR10" i="25" s="1"/>
  <c r="BB30" i="25"/>
  <c r="BC30" i="25"/>
  <c r="BR30" i="25" s="1"/>
  <c r="BB91" i="25"/>
  <c r="BC91" i="25"/>
  <c r="BR91" i="25" s="1"/>
  <c r="BB13" i="25"/>
  <c r="BC13" i="25"/>
  <c r="BR13" i="25" s="1"/>
  <c r="BB31" i="25"/>
  <c r="BC31" i="25"/>
  <c r="BR31" i="25" s="1"/>
  <c r="BB96" i="25"/>
  <c r="BC96" i="25"/>
  <c r="BR96" i="25" s="1"/>
  <c r="BB104" i="25"/>
  <c r="BC104" i="25"/>
  <c r="BR104" i="25" s="1"/>
  <c r="BB25" i="25"/>
  <c r="BC25" i="25"/>
  <c r="BR25" i="25" s="1"/>
  <c r="BC60" i="25"/>
  <c r="BR60" i="25" s="1"/>
  <c r="BB60" i="25"/>
  <c r="BB66" i="25"/>
  <c r="BC66" i="25"/>
  <c r="BR66" i="25" s="1"/>
  <c r="BB73" i="25"/>
  <c r="BC73" i="25"/>
  <c r="BR73" i="25" s="1"/>
  <c r="BB98" i="25"/>
  <c r="BC98" i="25"/>
  <c r="BR98" i="25" s="1"/>
  <c r="BB81" i="25"/>
  <c r="BC81" i="25"/>
  <c r="BR81" i="25" s="1"/>
  <c r="BB34" i="25"/>
  <c r="BC34" i="25"/>
  <c r="BR34" i="25" s="1"/>
  <c r="BB21" i="25"/>
  <c r="BC21" i="25"/>
  <c r="BR21" i="25" s="1"/>
  <c r="BC56" i="25"/>
  <c r="BR56" i="25" s="1"/>
  <c r="BB56" i="25"/>
  <c r="BC86" i="25"/>
  <c r="BR86" i="25" s="1"/>
  <c r="BB86" i="25"/>
  <c r="BB87" i="25"/>
  <c r="BC87" i="25"/>
  <c r="BR87" i="25" s="1"/>
  <c r="BB75" i="25"/>
  <c r="BC75" i="25"/>
  <c r="BR75" i="25" s="1"/>
  <c r="BC36" i="25"/>
  <c r="BR36" i="25" s="1"/>
  <c r="BB36" i="25"/>
  <c r="BB11" i="25"/>
  <c r="BC11" i="25"/>
  <c r="BR11" i="25" s="1"/>
  <c r="BB38" i="25"/>
  <c r="BC38" i="25"/>
  <c r="BR38" i="25" s="1"/>
  <c r="BB69" i="25"/>
  <c r="BC69" i="25"/>
  <c r="BR69" i="25" s="1"/>
  <c r="BB59" i="25"/>
  <c r="BC59" i="25"/>
  <c r="BR59" i="25" s="1"/>
  <c r="BB76" i="25"/>
  <c r="BC76" i="25"/>
  <c r="BR76" i="25" s="1"/>
  <c r="BB27" i="25"/>
  <c r="BC27" i="25"/>
  <c r="BR27" i="25" s="1"/>
  <c r="BB79" i="25"/>
  <c r="BC79" i="25"/>
  <c r="BR79" i="25" s="1"/>
  <c r="BB54" i="25"/>
  <c r="BC54" i="25"/>
  <c r="BR54" i="25" s="1"/>
  <c r="BB71" i="25"/>
  <c r="BC71" i="25"/>
  <c r="BR71" i="25" s="1"/>
  <c r="BB15" i="25"/>
  <c r="BC15" i="25"/>
  <c r="BR15" i="25" s="1"/>
  <c r="BB105" i="25"/>
  <c r="BC105" i="25"/>
  <c r="BR105" i="25" s="1"/>
  <c r="BB18" i="25"/>
  <c r="BC18" i="25"/>
  <c r="BR18" i="25" s="1"/>
  <c r="BC32" i="25"/>
  <c r="BR32" i="25" s="1"/>
  <c r="BB32" i="25"/>
  <c r="BB57" i="25"/>
  <c r="BC57" i="25"/>
  <c r="BR57" i="25" s="1"/>
  <c r="BB65" i="25"/>
  <c r="BC65" i="25"/>
  <c r="BR65" i="25" s="1"/>
  <c r="BC72" i="25"/>
  <c r="BR72" i="25" s="1"/>
  <c r="BB72" i="25"/>
  <c r="BB29" i="25"/>
  <c r="BC29" i="25"/>
  <c r="BR29" i="25" s="1"/>
  <c r="BB88" i="25"/>
  <c r="BC88" i="25"/>
  <c r="BR88" i="25" s="1"/>
  <c r="BB12" i="25"/>
  <c r="BC12" i="25"/>
  <c r="BR12" i="25" s="1"/>
  <c r="BC64" i="25"/>
  <c r="BR64" i="25" s="1"/>
  <c r="BB64" i="25"/>
  <c r="BB26" i="25"/>
  <c r="BC26" i="25"/>
  <c r="BR26" i="25" s="1"/>
  <c r="BB100" i="25"/>
  <c r="BC100" i="25"/>
  <c r="BR100" i="25" s="1"/>
  <c r="BB97" i="25"/>
  <c r="BC97" i="25"/>
  <c r="BR97" i="25" s="1"/>
  <c r="BB19" i="25"/>
  <c r="BC19" i="25"/>
  <c r="BR19" i="25" s="1"/>
  <c r="BB20" i="25"/>
  <c r="BC20" i="25"/>
  <c r="BR20" i="25" s="1"/>
  <c r="BB17" i="25"/>
  <c r="BC17" i="25"/>
  <c r="BR17" i="25" s="1"/>
  <c r="BB47" i="25"/>
  <c r="BC47" i="25"/>
  <c r="BR47" i="25" s="1"/>
  <c r="BB63" i="25"/>
  <c r="BC63" i="25"/>
  <c r="BR63" i="25" s="1"/>
  <c r="BB53" i="25"/>
  <c r="BC53" i="25"/>
  <c r="BR53" i="25" s="1"/>
  <c r="BB93" i="25"/>
  <c r="BC93" i="25"/>
  <c r="BR93" i="25" s="1"/>
  <c r="BC68" i="25"/>
  <c r="BR68" i="25" s="1"/>
  <c r="BB68" i="25"/>
  <c r="BB24" i="25"/>
  <c r="BC24" i="25"/>
  <c r="BR24" i="25" s="1"/>
  <c r="BC94" i="25"/>
  <c r="BR94" i="25" s="1"/>
  <c r="BB94" i="25"/>
  <c r="BC52" i="25"/>
  <c r="BR52" i="25" s="1"/>
  <c r="BB52" i="25"/>
  <c r="BB92" i="25"/>
  <c r="BC92" i="25"/>
  <c r="BR92" i="25" s="1"/>
  <c r="BB33" i="25"/>
  <c r="BC33" i="25"/>
  <c r="BR33" i="25" s="1"/>
  <c r="BB99" i="25"/>
  <c r="BC99" i="25"/>
  <c r="BR99" i="25" s="1"/>
  <c r="BB95" i="25"/>
  <c r="BC95" i="25"/>
  <c r="BR95" i="25" s="1"/>
  <c r="BB55" i="25"/>
  <c r="BC55" i="25"/>
  <c r="BR55" i="25" s="1"/>
  <c r="BB70" i="25"/>
  <c r="BC70" i="25"/>
  <c r="BR70" i="25" s="1"/>
  <c r="BC102" i="25"/>
  <c r="BR102" i="25" s="1"/>
  <c r="BB102" i="25"/>
  <c r="BB83" i="25"/>
  <c r="BC83" i="25"/>
  <c r="BR83" i="25" s="1"/>
  <c r="BB14" i="25"/>
  <c r="BC14" i="25"/>
  <c r="BR14" i="25" s="1"/>
  <c r="BB80" i="25"/>
  <c r="BC80" i="25"/>
  <c r="BR80" i="25" s="1"/>
  <c r="BB42" i="25"/>
  <c r="BC42" i="25"/>
  <c r="BR42" i="25" s="1"/>
  <c r="BB6" i="25"/>
  <c r="BC6" i="25"/>
  <c r="BR6" i="25" s="1"/>
  <c r="BB49" i="25"/>
  <c r="BC49" i="25"/>
  <c r="BR49" i="25" s="1"/>
  <c r="BB37" i="25"/>
  <c r="BC37" i="25"/>
  <c r="BR37" i="25" s="1"/>
  <c r="BB50" i="25"/>
  <c r="BC50" i="25"/>
  <c r="BR50" i="25" s="1"/>
  <c r="BB89" i="25"/>
  <c r="BC89" i="25"/>
  <c r="BR89" i="25" s="1"/>
  <c r="BC48" i="25"/>
  <c r="BR48" i="25" s="1"/>
  <c r="BB48" i="25"/>
  <c r="BB39" i="25"/>
  <c r="BC39" i="25"/>
  <c r="BR39" i="25" s="1"/>
  <c r="BC40" i="25"/>
  <c r="BR40" i="25" s="1"/>
  <c r="BB40" i="25"/>
  <c r="BB23" i="25"/>
  <c r="BC23" i="25"/>
  <c r="BR23" i="25" s="1"/>
  <c r="BB61" i="25"/>
  <c r="BC61" i="25"/>
  <c r="BR61" i="25" s="1"/>
  <c r="BB16" i="25"/>
  <c r="BC16" i="25"/>
  <c r="BR16" i="25" s="1"/>
  <c r="BB41" i="25"/>
  <c r="BC41" i="25"/>
  <c r="BR41" i="25" s="1"/>
  <c r="BB35" i="25"/>
  <c r="BC35" i="25"/>
  <c r="BR35" i="25" s="1"/>
  <c r="BB90" i="25"/>
  <c r="BC90" i="25"/>
  <c r="BR90" i="25" s="1"/>
  <c r="BB84" i="25"/>
  <c r="BC84" i="25"/>
  <c r="BR84" i="25" s="1"/>
  <c r="BB85" i="25"/>
  <c r="BC85" i="25"/>
  <c r="BR85" i="25" s="1"/>
  <c r="BB43" i="25"/>
  <c r="BC43" i="25"/>
  <c r="BR43" i="25" s="1"/>
  <c r="AT5" i="25"/>
  <c r="AY5" i="25" s="1"/>
  <c r="AU5" i="25"/>
  <c r="BD40" i="24"/>
  <c r="BG40" i="24" s="1"/>
  <c r="BL40" i="24" s="1"/>
  <c r="BA90" i="25"/>
  <c r="BP90" i="25" s="1"/>
  <c r="BA33" i="25"/>
  <c r="BP33" i="25" s="1"/>
  <c r="BA55" i="25"/>
  <c r="BP55" i="25" s="1"/>
  <c r="BA60" i="25"/>
  <c r="BP60" i="25" s="1"/>
  <c r="BA98" i="25"/>
  <c r="BP98" i="25" s="1"/>
  <c r="BA95" i="25"/>
  <c r="BE95" i="25" s="1"/>
  <c r="BQ58" i="25"/>
  <c r="BA18" i="25"/>
  <c r="BE18" i="25" s="1"/>
  <c r="BA65" i="25"/>
  <c r="BP65" i="25" s="1"/>
  <c r="B96" i="2"/>
  <c r="B99" i="2"/>
  <c r="E23" i="1" s="1"/>
  <c r="B109" i="2"/>
  <c r="L23" i="1" s="1"/>
  <c r="B106" i="2"/>
  <c r="BA43" i="25"/>
  <c r="BP43" i="25" s="1"/>
  <c r="BA32" i="25"/>
  <c r="BP32" i="25" s="1"/>
  <c r="BA73" i="25"/>
  <c r="BP73" i="25" s="1"/>
  <c r="BA57" i="25"/>
  <c r="BE57" i="25" s="1"/>
  <c r="BA85" i="25"/>
  <c r="BE85" i="25" s="1"/>
  <c r="BA99" i="25"/>
  <c r="BP99" i="25" s="1"/>
  <c r="BA84" i="25"/>
  <c r="BE84" i="25" s="1"/>
  <c r="BA66" i="25"/>
  <c r="BE66" i="25" s="1"/>
  <c r="BA70" i="25"/>
  <c r="BA81" i="25"/>
  <c r="BA34" i="25"/>
  <c r="BA21" i="25"/>
  <c r="BA56" i="25"/>
  <c r="BA86" i="25"/>
  <c r="BA87" i="25"/>
  <c r="BA6" i="25"/>
  <c r="BA49" i="25"/>
  <c r="BA37" i="25"/>
  <c r="BA50" i="25"/>
  <c r="BA89" i="25"/>
  <c r="BA48" i="25"/>
  <c r="BA39" i="25"/>
  <c r="BA40" i="25"/>
  <c r="BA54" i="25"/>
  <c r="BA71" i="25"/>
  <c r="BA105" i="25"/>
  <c r="BA8" i="25"/>
  <c r="BA29" i="25"/>
  <c r="BA88" i="25"/>
  <c r="BA62" i="25"/>
  <c r="BA103" i="25"/>
  <c r="BA26" i="25"/>
  <c r="BA100" i="25"/>
  <c r="BA28" i="25"/>
  <c r="BA7" i="25"/>
  <c r="BA101" i="25"/>
  <c r="BA46" i="25"/>
  <c r="BA9" i="25"/>
  <c r="BA78" i="25"/>
  <c r="BA22" i="25"/>
  <c r="BA47" i="25"/>
  <c r="BA63" i="25"/>
  <c r="BA51" i="25"/>
  <c r="BA77" i="25"/>
  <c r="BA93" i="25"/>
  <c r="BA68" i="25"/>
  <c r="BA24" i="25"/>
  <c r="BA31" i="25"/>
  <c r="BA96" i="25"/>
  <c r="BA104" i="25"/>
  <c r="BA25" i="25"/>
  <c r="BA102" i="25"/>
  <c r="BA83" i="25"/>
  <c r="BA14" i="25"/>
  <c r="BA80" i="25"/>
  <c r="BA42" i="25"/>
  <c r="BA75" i="25"/>
  <c r="BA36" i="25"/>
  <c r="BA11" i="25"/>
  <c r="BA38" i="25"/>
  <c r="BA69" i="25"/>
  <c r="BA59" i="25"/>
  <c r="BA76" i="25"/>
  <c r="BA27" i="25"/>
  <c r="BA79" i="25"/>
  <c r="BA23" i="25"/>
  <c r="BA61" i="25"/>
  <c r="BA16" i="25"/>
  <c r="BA15" i="25"/>
  <c r="BA41" i="25"/>
  <c r="BA35" i="25"/>
  <c r="BA72" i="25"/>
  <c r="BA82" i="25"/>
  <c r="BA74" i="25"/>
  <c r="BA45" i="25"/>
  <c r="BA12" i="25"/>
  <c r="BA64" i="25"/>
  <c r="BA44" i="25"/>
  <c r="BA97" i="25"/>
  <c r="BA19" i="25"/>
  <c r="BA20" i="25"/>
  <c r="BA17" i="25"/>
  <c r="BA67" i="25"/>
  <c r="BA53" i="25"/>
  <c r="BA10" i="25"/>
  <c r="BA30" i="25"/>
  <c r="BA91" i="25"/>
  <c r="BA13" i="25"/>
  <c r="BA94" i="25"/>
  <c r="BA52" i="25"/>
  <c r="BA92" i="25"/>
  <c r="BL53" i="24"/>
  <c r="BL32" i="24"/>
  <c r="BQ53" i="24"/>
  <c r="BU53" i="24" s="1"/>
  <c r="BQ32" i="24"/>
  <c r="BU32" i="24" s="1"/>
  <c r="BD85" i="24"/>
  <c r="BG85" i="24" s="1"/>
  <c r="BE85" i="24"/>
  <c r="BR85" i="24" s="1"/>
  <c r="BD21" i="24"/>
  <c r="BG21" i="24" s="1"/>
  <c r="BE21" i="24"/>
  <c r="BR21" i="24" s="1"/>
  <c r="BD95" i="24"/>
  <c r="BG95" i="24" s="1"/>
  <c r="BE95" i="24"/>
  <c r="BR95" i="24" s="1"/>
  <c r="BD68" i="24"/>
  <c r="BG68" i="24" s="1"/>
  <c r="BE68" i="24"/>
  <c r="BR68" i="24" s="1"/>
  <c r="BD28" i="24"/>
  <c r="BQ28" i="24" s="1"/>
  <c r="BE28" i="24"/>
  <c r="BR28" i="24" s="1"/>
  <c r="BD14" i="24"/>
  <c r="BG14" i="24" s="1"/>
  <c r="BE14" i="24"/>
  <c r="BR14" i="24" s="1"/>
  <c r="BD92" i="24"/>
  <c r="BG92" i="24" s="1"/>
  <c r="BE92" i="24"/>
  <c r="BR92" i="24" s="1"/>
  <c r="BD55" i="24"/>
  <c r="BQ55" i="24" s="1"/>
  <c r="BE55" i="24"/>
  <c r="BR55" i="24" s="1"/>
  <c r="BD105" i="24"/>
  <c r="BG105" i="24" s="1"/>
  <c r="BE105" i="24"/>
  <c r="BR105" i="24" s="1"/>
  <c r="BD63" i="24"/>
  <c r="BQ63" i="24" s="1"/>
  <c r="BE63" i="24"/>
  <c r="BR63" i="24" s="1"/>
  <c r="BD36" i="24"/>
  <c r="BG36" i="24" s="1"/>
  <c r="BE36" i="24"/>
  <c r="BR36" i="24" s="1"/>
  <c r="BD42" i="24"/>
  <c r="BQ42" i="24" s="1"/>
  <c r="BE42" i="24"/>
  <c r="BR42" i="24" s="1"/>
  <c r="BD59" i="24"/>
  <c r="BG59" i="24" s="1"/>
  <c r="BE59" i="24"/>
  <c r="BR59" i="24" s="1"/>
  <c r="BD19" i="24"/>
  <c r="BQ19" i="24" s="1"/>
  <c r="BE19" i="24"/>
  <c r="BR19" i="24" s="1"/>
  <c r="BD54" i="24"/>
  <c r="BG54" i="24" s="1"/>
  <c r="BE54" i="24"/>
  <c r="BR54" i="24" s="1"/>
  <c r="BD82" i="24"/>
  <c r="BG82" i="24" s="1"/>
  <c r="BE82" i="24"/>
  <c r="BR82" i="24" s="1"/>
  <c r="BD60" i="24"/>
  <c r="BQ60" i="24" s="1"/>
  <c r="BE60" i="24"/>
  <c r="BR60" i="24" s="1"/>
  <c r="BD29" i="24"/>
  <c r="BG29" i="24" s="1"/>
  <c r="BE29" i="24"/>
  <c r="BR29" i="24" s="1"/>
  <c r="BD18" i="24"/>
  <c r="BQ18" i="24" s="1"/>
  <c r="BE18" i="24"/>
  <c r="BR18" i="24" s="1"/>
  <c r="BD100" i="24"/>
  <c r="BQ100" i="24" s="1"/>
  <c r="BE100" i="24"/>
  <c r="BR100" i="24" s="1"/>
  <c r="BD46" i="24"/>
  <c r="BQ46" i="24" s="1"/>
  <c r="BE46" i="24"/>
  <c r="BR46" i="24" s="1"/>
  <c r="BD31" i="24"/>
  <c r="BQ31" i="24" s="1"/>
  <c r="BE31" i="24"/>
  <c r="BR31" i="24" s="1"/>
  <c r="BD41" i="24"/>
  <c r="BG41" i="24" s="1"/>
  <c r="BE41" i="24"/>
  <c r="BR41" i="24" s="1"/>
  <c r="BD83" i="24"/>
  <c r="BQ83" i="24" s="1"/>
  <c r="BE83" i="24"/>
  <c r="BR83" i="24" s="1"/>
  <c r="BD91" i="24"/>
  <c r="BG91" i="24" s="1"/>
  <c r="BE91" i="24"/>
  <c r="BR91" i="24" s="1"/>
  <c r="BD78" i="24"/>
  <c r="BG78" i="24" s="1"/>
  <c r="BE78" i="24"/>
  <c r="BR78" i="24" s="1"/>
  <c r="BD96" i="24"/>
  <c r="BG96" i="24" s="1"/>
  <c r="BE96" i="24"/>
  <c r="BR96" i="24" s="1"/>
  <c r="BD79" i="24"/>
  <c r="BG79" i="24" s="1"/>
  <c r="BE79" i="24"/>
  <c r="BR79" i="24" s="1"/>
  <c r="BD87" i="24"/>
  <c r="BG87" i="24" s="1"/>
  <c r="BE87" i="24"/>
  <c r="BR87" i="24" s="1"/>
  <c r="BD72" i="24"/>
  <c r="BQ72" i="24" s="1"/>
  <c r="BE72" i="24"/>
  <c r="BR72" i="24" s="1"/>
  <c r="BD74" i="24"/>
  <c r="BG74" i="24" s="1"/>
  <c r="BE74" i="24"/>
  <c r="BR74" i="24" s="1"/>
  <c r="BD56" i="24"/>
  <c r="BQ56" i="24" s="1"/>
  <c r="BE56" i="24"/>
  <c r="BR56" i="24" s="1"/>
  <c r="BD25" i="24"/>
  <c r="BQ25" i="24" s="1"/>
  <c r="BE25" i="24"/>
  <c r="BR25" i="24" s="1"/>
  <c r="BD70" i="24"/>
  <c r="BQ70" i="24" s="1"/>
  <c r="BE70" i="24"/>
  <c r="BR70" i="24" s="1"/>
  <c r="BD89" i="24"/>
  <c r="BG89" i="24" s="1"/>
  <c r="BE89" i="24"/>
  <c r="BR89" i="24" s="1"/>
  <c r="BD10" i="24"/>
  <c r="BQ10" i="24" s="1"/>
  <c r="BE10" i="24"/>
  <c r="BR10" i="24" s="1"/>
  <c r="BD101" i="24"/>
  <c r="BQ101" i="24" s="1"/>
  <c r="BE101" i="24"/>
  <c r="BR101" i="24" s="1"/>
  <c r="BD50" i="24"/>
  <c r="BQ50" i="24" s="1"/>
  <c r="BE50" i="24"/>
  <c r="BR50" i="24" s="1"/>
  <c r="F64" i="19"/>
  <c r="F65" i="19"/>
  <c r="AY133" i="24" l="1"/>
  <c r="AZ133" i="24" s="1"/>
  <c r="BE133" i="24"/>
  <c r="BR133" i="24" s="1"/>
  <c r="AY166" i="24"/>
  <c r="AZ166" i="24" s="1"/>
  <c r="BD167" i="24"/>
  <c r="BQ167" i="24" s="1"/>
  <c r="BU167" i="24" s="1"/>
  <c r="BE191" i="25"/>
  <c r="BP191" i="25"/>
  <c r="BU191" i="25" s="1"/>
  <c r="BE165" i="25"/>
  <c r="BP165" i="25"/>
  <c r="BU165" i="25" s="1"/>
  <c r="BE152" i="25"/>
  <c r="BP152" i="25"/>
  <c r="BU152" i="25" s="1"/>
  <c r="BE168" i="25"/>
  <c r="BP168" i="25"/>
  <c r="BU168" i="25" s="1"/>
  <c r="BE136" i="25"/>
  <c r="BP136" i="25"/>
  <c r="BU136" i="25" s="1"/>
  <c r="BE137" i="25"/>
  <c r="BP137" i="25"/>
  <c r="BU137" i="25" s="1"/>
  <c r="BE159" i="25"/>
  <c r="BP159" i="25"/>
  <c r="BU159" i="25" s="1"/>
  <c r="BE114" i="25"/>
  <c r="BP114" i="25"/>
  <c r="BU114" i="25" s="1"/>
  <c r="BE111" i="25"/>
  <c r="BP111" i="25"/>
  <c r="BU111" i="25" s="1"/>
  <c r="BE206" i="25"/>
  <c r="BP206" i="25"/>
  <c r="BU206" i="25" s="1"/>
  <c r="BE163" i="25"/>
  <c r="BP163" i="25"/>
  <c r="BU163" i="25" s="1"/>
  <c r="BE119" i="25"/>
  <c r="BP119" i="25"/>
  <c r="BU119" i="25" s="1"/>
  <c r="BE158" i="25"/>
  <c r="BP158" i="25"/>
  <c r="BU158" i="25" s="1"/>
  <c r="BP210" i="25"/>
  <c r="BU210" i="25" s="1"/>
  <c r="BE210" i="25"/>
  <c r="BE175" i="25"/>
  <c r="BP175" i="25"/>
  <c r="BU175" i="25" s="1"/>
  <c r="BP122" i="25"/>
  <c r="BU122" i="25" s="1"/>
  <c r="BE122" i="25"/>
  <c r="BP112" i="25"/>
  <c r="BU112" i="25" s="1"/>
  <c r="BE112" i="25"/>
  <c r="BE205" i="25"/>
  <c r="BP205" i="25"/>
  <c r="BU205" i="25" s="1"/>
  <c r="BE189" i="25"/>
  <c r="BP189" i="25"/>
  <c r="BU189" i="25" s="1"/>
  <c r="BP196" i="25"/>
  <c r="BU196" i="25" s="1"/>
  <c r="BE196" i="25"/>
  <c r="BP198" i="25"/>
  <c r="BU198" i="25" s="1"/>
  <c r="BE198" i="25"/>
  <c r="BE170" i="25"/>
  <c r="BP170" i="25"/>
  <c r="BU170" i="25" s="1"/>
  <c r="BE199" i="25"/>
  <c r="BP199" i="25"/>
  <c r="BU199" i="25" s="1"/>
  <c r="BE202" i="25"/>
  <c r="BP202" i="25"/>
  <c r="BU202" i="25" s="1"/>
  <c r="BE186" i="25"/>
  <c r="BP186" i="25"/>
  <c r="BU186" i="25" s="1"/>
  <c r="BE197" i="25"/>
  <c r="BP197" i="25"/>
  <c r="BU197" i="25" s="1"/>
  <c r="BE156" i="25"/>
  <c r="BP156" i="25"/>
  <c r="BU156" i="25" s="1"/>
  <c r="BE164" i="25"/>
  <c r="BP164" i="25"/>
  <c r="BU164" i="25" s="1"/>
  <c r="BE123" i="25"/>
  <c r="BP123" i="25"/>
  <c r="BU123" i="25" s="1"/>
  <c r="BE127" i="25"/>
  <c r="BP127" i="25"/>
  <c r="BU127" i="25" s="1"/>
  <c r="BE143" i="25"/>
  <c r="BP143" i="25"/>
  <c r="BU143" i="25" s="1"/>
  <c r="BP162" i="25"/>
  <c r="BU162" i="25" s="1"/>
  <c r="BE162" i="25"/>
  <c r="BE125" i="25"/>
  <c r="BP125" i="25"/>
  <c r="BU125" i="25" s="1"/>
  <c r="BE116" i="25"/>
  <c r="BP116" i="25"/>
  <c r="BU116" i="25" s="1"/>
  <c r="BE149" i="25"/>
  <c r="BP149" i="25"/>
  <c r="BU149" i="25" s="1"/>
  <c r="BE144" i="25"/>
  <c r="BP144" i="25"/>
  <c r="BE181" i="25"/>
  <c r="BP181" i="25"/>
  <c r="BU181" i="25" s="1"/>
  <c r="BE138" i="25"/>
  <c r="BP138" i="25"/>
  <c r="BU138" i="25" s="1"/>
  <c r="BE132" i="25"/>
  <c r="BP132" i="25"/>
  <c r="BU132" i="25" s="1"/>
  <c r="BE193" i="25"/>
  <c r="BP193" i="25"/>
  <c r="BU193" i="25" s="1"/>
  <c r="BE117" i="25"/>
  <c r="BP117" i="25"/>
  <c r="BU117" i="25" s="1"/>
  <c r="BE153" i="25"/>
  <c r="BP153" i="25"/>
  <c r="BU153" i="25" s="1"/>
  <c r="BE133" i="25"/>
  <c r="BP133" i="25"/>
  <c r="BU133" i="25" s="1"/>
  <c r="BE126" i="25"/>
  <c r="BP126" i="25"/>
  <c r="BU126" i="25" s="1"/>
  <c r="BE161" i="25"/>
  <c r="BP161" i="25"/>
  <c r="BU161" i="25" s="1"/>
  <c r="BE192" i="25"/>
  <c r="BP192" i="25"/>
  <c r="BU192" i="25" s="1"/>
  <c r="BE183" i="25"/>
  <c r="BP183" i="25"/>
  <c r="BU183" i="25" s="1"/>
  <c r="BE207" i="25"/>
  <c r="BP207" i="25"/>
  <c r="BU207" i="25" s="1"/>
  <c r="BE173" i="25"/>
  <c r="BP173" i="25"/>
  <c r="BU173" i="25" s="1"/>
  <c r="BE130" i="25"/>
  <c r="BP130" i="25"/>
  <c r="BU130" i="25" s="1"/>
  <c r="BP134" i="25"/>
  <c r="BU134" i="25" s="1"/>
  <c r="BE134" i="25"/>
  <c r="BE208" i="25"/>
  <c r="BP208" i="25"/>
  <c r="BU208" i="25" s="1"/>
  <c r="BE151" i="25"/>
  <c r="BP151" i="25"/>
  <c r="BU151" i="25" s="1"/>
  <c r="BP128" i="25"/>
  <c r="BU128" i="25" s="1"/>
  <c r="BE128" i="25"/>
  <c r="BP182" i="25"/>
  <c r="BU182" i="25" s="1"/>
  <c r="BE182" i="25"/>
  <c r="BE129" i="25"/>
  <c r="BP129" i="25"/>
  <c r="BU129" i="25" s="1"/>
  <c r="BE200" i="25"/>
  <c r="BP200" i="25"/>
  <c r="BU200" i="25" s="1"/>
  <c r="BE179" i="25"/>
  <c r="BP179" i="25"/>
  <c r="BU179" i="25" s="1"/>
  <c r="BC110" i="25"/>
  <c r="BR110" i="25" s="1"/>
  <c r="BA110" i="25"/>
  <c r="BB110" i="25"/>
  <c r="BQ110" i="25" s="1"/>
  <c r="BE148" i="25"/>
  <c r="BP148" i="25"/>
  <c r="BU148" i="25" s="1"/>
  <c r="BE121" i="25"/>
  <c r="BP121" i="25"/>
  <c r="BU121" i="25" s="1"/>
  <c r="BE115" i="25"/>
  <c r="BP115" i="25"/>
  <c r="BU115" i="25" s="1"/>
  <c r="BE178" i="25"/>
  <c r="BP178" i="25"/>
  <c r="BU178" i="25" s="1"/>
  <c r="BU144" i="25"/>
  <c r="BP131" i="25"/>
  <c r="BU131" i="25" s="1"/>
  <c r="BE131" i="25"/>
  <c r="BE146" i="25"/>
  <c r="BP146" i="25"/>
  <c r="BU146" i="25" s="1"/>
  <c r="BE118" i="25"/>
  <c r="BP118" i="25"/>
  <c r="BU118" i="25" s="1"/>
  <c r="BE139" i="25"/>
  <c r="BP139" i="25"/>
  <c r="BU139" i="25" s="1"/>
  <c r="BP120" i="25"/>
  <c r="BU120" i="25" s="1"/>
  <c r="BE120" i="25"/>
  <c r="BE209" i="25"/>
  <c r="BP209" i="25"/>
  <c r="BU209" i="25" s="1"/>
  <c r="BE150" i="25"/>
  <c r="BP150" i="25"/>
  <c r="BU150" i="25" s="1"/>
  <c r="BE113" i="25"/>
  <c r="BP113" i="25"/>
  <c r="BU113" i="25" s="1"/>
  <c r="BE177" i="25"/>
  <c r="BP177" i="25"/>
  <c r="BU177" i="25" s="1"/>
  <c r="BE169" i="25"/>
  <c r="BP169" i="25"/>
  <c r="BU169" i="25" s="1"/>
  <c r="BP203" i="25"/>
  <c r="BU203" i="25" s="1"/>
  <c r="BE203" i="25"/>
  <c r="BE167" i="25"/>
  <c r="BP167" i="25"/>
  <c r="BU167" i="25" s="1"/>
  <c r="BE135" i="25"/>
  <c r="BP135" i="25"/>
  <c r="BU135" i="25" s="1"/>
  <c r="BE187" i="25"/>
  <c r="BP187" i="25"/>
  <c r="BU187" i="25" s="1"/>
  <c r="BE172" i="25"/>
  <c r="BP172" i="25"/>
  <c r="BU172" i="25" s="1"/>
  <c r="BP176" i="25"/>
  <c r="BU176" i="25" s="1"/>
  <c r="BE176" i="25"/>
  <c r="BP140" i="25"/>
  <c r="BU140" i="25" s="1"/>
  <c r="BE140" i="25"/>
  <c r="BP124" i="25"/>
  <c r="BU124" i="25" s="1"/>
  <c r="BE124" i="25"/>
  <c r="BP147" i="25"/>
  <c r="BU147" i="25" s="1"/>
  <c r="BE147" i="25"/>
  <c r="BE194" i="25"/>
  <c r="BP194" i="25"/>
  <c r="BU194" i="25" s="1"/>
  <c r="BE160" i="25"/>
  <c r="BJ160" i="25" s="1"/>
  <c r="BP160" i="25"/>
  <c r="BU160" i="25" s="1"/>
  <c r="BE155" i="25"/>
  <c r="BP155" i="25"/>
  <c r="BU155" i="25" s="1"/>
  <c r="BP157" i="25"/>
  <c r="BU157" i="25" s="1"/>
  <c r="BE157" i="25"/>
  <c r="BP154" i="25"/>
  <c r="BU154" i="25" s="1"/>
  <c r="BE154" i="25"/>
  <c r="BE190" i="25"/>
  <c r="BP190" i="25"/>
  <c r="BU190" i="25" s="1"/>
  <c r="BE188" i="25"/>
  <c r="BP188" i="25"/>
  <c r="BU188" i="25" s="1"/>
  <c r="BE195" i="25"/>
  <c r="BP195" i="25"/>
  <c r="BU195" i="25" s="1"/>
  <c r="BP174" i="25"/>
  <c r="BU174" i="25" s="1"/>
  <c r="BE174" i="25"/>
  <c r="BP204" i="25"/>
  <c r="BU204" i="25" s="1"/>
  <c r="BE204" i="25"/>
  <c r="BE171" i="25"/>
  <c r="BP171" i="25"/>
  <c r="BU171" i="25" s="1"/>
  <c r="BP180" i="25"/>
  <c r="BU180" i="25" s="1"/>
  <c r="BE180" i="25"/>
  <c r="BE201" i="25"/>
  <c r="BP201" i="25"/>
  <c r="BU201" i="25" s="1"/>
  <c r="BE145" i="25"/>
  <c r="BP145" i="25"/>
  <c r="BU145" i="25" s="1"/>
  <c r="BE142" i="25"/>
  <c r="BP142" i="25"/>
  <c r="BU142" i="25" s="1"/>
  <c r="BP141" i="25"/>
  <c r="BU141" i="25" s="1"/>
  <c r="BE141" i="25"/>
  <c r="BE184" i="25"/>
  <c r="BP184" i="25"/>
  <c r="BU184" i="25" s="1"/>
  <c r="BE185" i="25"/>
  <c r="BP185" i="25"/>
  <c r="BU185" i="25" s="1"/>
  <c r="BE166" i="25"/>
  <c r="BP166" i="25"/>
  <c r="BU166" i="25" s="1"/>
  <c r="AY115" i="24"/>
  <c r="AZ115" i="24" s="1"/>
  <c r="AY167" i="24"/>
  <c r="AZ167" i="24" s="1"/>
  <c r="BD115" i="24"/>
  <c r="BQ115" i="24" s="1"/>
  <c r="BU115" i="24" s="1"/>
  <c r="AY165" i="24"/>
  <c r="AZ165" i="24" s="1"/>
  <c r="BD165" i="24"/>
  <c r="BG165" i="24" s="1"/>
  <c r="BE194" i="24"/>
  <c r="BR194" i="24" s="1"/>
  <c r="AY194" i="24"/>
  <c r="AZ194" i="24" s="1"/>
  <c r="BD194" i="24"/>
  <c r="BD141" i="24"/>
  <c r="BE141" i="24"/>
  <c r="BR141" i="24" s="1"/>
  <c r="AY141" i="24"/>
  <c r="AZ141" i="24" s="1"/>
  <c r="BD199" i="24"/>
  <c r="AY199" i="24"/>
  <c r="AZ199" i="24" s="1"/>
  <c r="BE199" i="24"/>
  <c r="BR199" i="24" s="1"/>
  <c r="BE112" i="24"/>
  <c r="BR112" i="24" s="1"/>
  <c r="AY112" i="24"/>
  <c r="AZ112" i="24" s="1"/>
  <c r="BD112" i="24"/>
  <c r="BD203" i="24"/>
  <c r="AY203" i="24"/>
  <c r="AZ203" i="24" s="1"/>
  <c r="BE203" i="24"/>
  <c r="BR203" i="24" s="1"/>
  <c r="AY193" i="24"/>
  <c r="AZ193" i="24" s="1"/>
  <c r="BE193" i="24"/>
  <c r="BR193" i="24" s="1"/>
  <c r="BD193" i="24"/>
  <c r="BQ144" i="24"/>
  <c r="BU144" i="24" s="1"/>
  <c r="BG144" i="24"/>
  <c r="BQ127" i="24"/>
  <c r="BU127" i="24" s="1"/>
  <c r="BG127" i="24"/>
  <c r="BQ152" i="24"/>
  <c r="BU152" i="24" s="1"/>
  <c r="BG152" i="24"/>
  <c r="BQ147" i="24"/>
  <c r="BU147" i="24" s="1"/>
  <c r="BG147" i="24"/>
  <c r="BQ187" i="24"/>
  <c r="BU187" i="24" s="1"/>
  <c r="BG187" i="24"/>
  <c r="BQ128" i="24"/>
  <c r="BU128" i="24" s="1"/>
  <c r="BG128" i="24"/>
  <c r="BQ163" i="24"/>
  <c r="BU163" i="24" s="1"/>
  <c r="BG163" i="24"/>
  <c r="BQ131" i="24"/>
  <c r="BU131" i="24" s="1"/>
  <c r="BG131" i="24"/>
  <c r="BQ151" i="24"/>
  <c r="BU151" i="24" s="1"/>
  <c r="BG151" i="24"/>
  <c r="BQ158" i="24"/>
  <c r="BU158" i="24" s="1"/>
  <c r="BG158" i="24"/>
  <c r="BG200" i="24"/>
  <c r="BQ200" i="24"/>
  <c r="BU200" i="24" s="1"/>
  <c r="BQ116" i="24"/>
  <c r="BU116" i="24" s="1"/>
  <c r="BG116" i="24"/>
  <c r="BD172" i="24"/>
  <c r="AY172" i="24"/>
  <c r="AZ172" i="24" s="1"/>
  <c r="BE172" i="24"/>
  <c r="BR172" i="24" s="1"/>
  <c r="BE149" i="24"/>
  <c r="BR149" i="24" s="1"/>
  <c r="BD149" i="24"/>
  <c r="AY149" i="24"/>
  <c r="AZ149" i="24" s="1"/>
  <c r="BE119" i="24"/>
  <c r="BR119" i="24" s="1"/>
  <c r="BD119" i="24"/>
  <c r="AY119" i="24"/>
  <c r="AZ119" i="24" s="1"/>
  <c r="AY123" i="24"/>
  <c r="AZ123" i="24" s="1"/>
  <c r="BD123" i="24"/>
  <c r="BE123" i="24"/>
  <c r="BR123" i="24" s="1"/>
  <c r="BE136" i="24"/>
  <c r="BR136" i="24" s="1"/>
  <c r="BD136" i="24"/>
  <c r="AY136" i="24"/>
  <c r="AZ136" i="24" s="1"/>
  <c r="BE156" i="24"/>
  <c r="BR156" i="24" s="1"/>
  <c r="BD156" i="24"/>
  <c r="AY156" i="24"/>
  <c r="AZ156" i="24" s="1"/>
  <c r="BD188" i="24"/>
  <c r="AY188" i="24"/>
  <c r="AZ188" i="24" s="1"/>
  <c r="BE188" i="24"/>
  <c r="BR188" i="24" s="1"/>
  <c r="AY206" i="24"/>
  <c r="AZ206" i="24" s="1"/>
  <c r="BD206" i="24"/>
  <c r="BE206" i="24"/>
  <c r="BR206" i="24" s="1"/>
  <c r="AY181" i="24"/>
  <c r="AZ181" i="24" s="1"/>
  <c r="BD181" i="24"/>
  <c r="BE181" i="24"/>
  <c r="BR181" i="24" s="1"/>
  <c r="BE159" i="24"/>
  <c r="BR159" i="24" s="1"/>
  <c r="AY159" i="24"/>
  <c r="AZ159" i="24" s="1"/>
  <c r="BD159" i="24"/>
  <c r="BE191" i="24"/>
  <c r="BR191" i="24" s="1"/>
  <c r="BD191" i="24"/>
  <c r="AY191" i="24"/>
  <c r="AZ191" i="24" s="1"/>
  <c r="BG170" i="24"/>
  <c r="BQ170" i="24"/>
  <c r="BU170" i="24" s="1"/>
  <c r="BG157" i="24"/>
  <c r="BQ157" i="24"/>
  <c r="BU157" i="24" s="1"/>
  <c r="BQ126" i="24"/>
  <c r="BU126" i="24" s="1"/>
  <c r="BG126" i="24"/>
  <c r="BG186" i="24"/>
  <c r="BL186" i="24" s="1"/>
  <c r="BQ186" i="24"/>
  <c r="BQ129" i="24"/>
  <c r="BU129" i="24" s="1"/>
  <c r="BG129" i="24"/>
  <c r="BQ138" i="24"/>
  <c r="BU138" i="24" s="1"/>
  <c r="BG138" i="24"/>
  <c r="BQ164" i="24"/>
  <c r="BU164" i="24" s="1"/>
  <c r="BG164" i="24"/>
  <c r="BQ184" i="24"/>
  <c r="BU184" i="24" s="1"/>
  <c r="BG184" i="24"/>
  <c r="BQ135" i="24"/>
  <c r="BU135" i="24" s="1"/>
  <c r="BG135" i="24"/>
  <c r="BQ205" i="24"/>
  <c r="BU205" i="24" s="1"/>
  <c r="BG205" i="24"/>
  <c r="BG185" i="24"/>
  <c r="BL185" i="24" s="1"/>
  <c r="BQ185" i="24"/>
  <c r="BQ133" i="24"/>
  <c r="BU133" i="24" s="1"/>
  <c r="BG133" i="24"/>
  <c r="BD134" i="24"/>
  <c r="BE134" i="24"/>
  <c r="BR134" i="24" s="1"/>
  <c r="AY134" i="24"/>
  <c r="AZ134" i="24" s="1"/>
  <c r="AY169" i="24"/>
  <c r="AZ169" i="24" s="1"/>
  <c r="BE169" i="24"/>
  <c r="BR169" i="24" s="1"/>
  <c r="BD169" i="24"/>
  <c r="AY210" i="24"/>
  <c r="AZ210" i="24" s="1"/>
  <c r="BD210" i="24"/>
  <c r="BE210" i="24"/>
  <c r="BR210" i="24" s="1"/>
  <c r="AY208" i="24"/>
  <c r="AZ208" i="24" s="1"/>
  <c r="BE208" i="24"/>
  <c r="BR208" i="24" s="1"/>
  <c r="BD208" i="24"/>
  <c r="AY195" i="24"/>
  <c r="AZ195" i="24" s="1"/>
  <c r="BD195" i="24"/>
  <c r="BE195" i="24"/>
  <c r="BR195" i="24" s="1"/>
  <c r="BE209" i="24"/>
  <c r="BR209" i="24" s="1"/>
  <c r="BD209" i="24"/>
  <c r="AY209" i="24"/>
  <c r="AZ209" i="24" s="1"/>
  <c r="BD176" i="24"/>
  <c r="AY176" i="24"/>
  <c r="AZ176" i="24" s="1"/>
  <c r="BE176" i="24"/>
  <c r="BR176" i="24" s="1"/>
  <c r="BD182" i="24"/>
  <c r="AY182" i="24"/>
  <c r="AZ182" i="24" s="1"/>
  <c r="BE182" i="24"/>
  <c r="BR182" i="24" s="1"/>
  <c r="BQ150" i="24"/>
  <c r="BU150" i="24" s="1"/>
  <c r="BG150" i="24"/>
  <c r="BG196" i="24"/>
  <c r="BQ196" i="24"/>
  <c r="BU196" i="24" s="1"/>
  <c r="BQ140" i="24"/>
  <c r="BU140" i="24" s="1"/>
  <c r="BG140" i="24"/>
  <c r="BG201" i="24"/>
  <c r="BQ201" i="24"/>
  <c r="BU201" i="24" s="1"/>
  <c r="BQ113" i="24"/>
  <c r="BU113" i="24" s="1"/>
  <c r="BG113" i="24"/>
  <c r="BQ173" i="24"/>
  <c r="BU173" i="24" s="1"/>
  <c r="BG173" i="24"/>
  <c r="BQ197" i="24"/>
  <c r="BU197" i="24" s="1"/>
  <c r="BG197" i="24"/>
  <c r="BQ121" i="24"/>
  <c r="BU121" i="24" s="1"/>
  <c r="BG121" i="24"/>
  <c r="BQ171" i="24"/>
  <c r="BU171" i="24" s="1"/>
  <c r="BG171" i="24"/>
  <c r="BG178" i="24"/>
  <c r="BQ178" i="24"/>
  <c r="BU178" i="24" s="1"/>
  <c r="BQ177" i="24"/>
  <c r="BU177" i="24" s="1"/>
  <c r="BG177" i="24"/>
  <c r="BQ153" i="24"/>
  <c r="BU153" i="24" s="1"/>
  <c r="BG153" i="24"/>
  <c r="BQ166" i="24"/>
  <c r="BU166" i="24" s="1"/>
  <c r="BG166" i="24"/>
  <c r="BQ148" i="24"/>
  <c r="BU148" i="24" s="1"/>
  <c r="BG148" i="24"/>
  <c r="BQ179" i="24"/>
  <c r="BU179" i="24" s="1"/>
  <c r="BG179" i="24"/>
  <c r="BQ162" i="24"/>
  <c r="BU162" i="24" s="1"/>
  <c r="BG162" i="24"/>
  <c r="BQ132" i="24"/>
  <c r="BU132" i="24" s="1"/>
  <c r="BG132" i="24"/>
  <c r="BQ204" i="24"/>
  <c r="BU204" i="24" s="1"/>
  <c r="BG204" i="24"/>
  <c r="BQ124" i="24"/>
  <c r="BU124" i="24" s="1"/>
  <c r="BG124" i="24"/>
  <c r="BQ183" i="24"/>
  <c r="BU183" i="24" s="1"/>
  <c r="BG183" i="24"/>
  <c r="BQ175" i="24"/>
  <c r="BU175" i="24" s="1"/>
  <c r="BG175" i="24"/>
  <c r="BQ154" i="24"/>
  <c r="BU154" i="24" s="1"/>
  <c r="BG154" i="24"/>
  <c r="BQ145" i="24"/>
  <c r="BU145" i="24" s="1"/>
  <c r="BG145" i="24"/>
  <c r="BQ120" i="24"/>
  <c r="BU120" i="24" s="1"/>
  <c r="BG120" i="24"/>
  <c r="AY161" i="24"/>
  <c r="AZ161" i="24" s="1"/>
  <c r="BE161" i="24"/>
  <c r="BR161" i="24" s="1"/>
  <c r="BD161" i="24"/>
  <c r="BD168" i="24"/>
  <c r="AY168" i="24"/>
  <c r="AZ168" i="24" s="1"/>
  <c r="BE168" i="24"/>
  <c r="BR168" i="24" s="1"/>
  <c r="BE130" i="24"/>
  <c r="BR130" i="24" s="1"/>
  <c r="BD130" i="24"/>
  <c r="AY130" i="24"/>
  <c r="AZ130" i="24" s="1"/>
  <c r="BD189" i="24"/>
  <c r="BE189" i="24"/>
  <c r="BR189" i="24" s="1"/>
  <c r="AY189" i="24"/>
  <c r="AZ189" i="24" s="1"/>
  <c r="BQ146" i="24"/>
  <c r="BU146" i="24" s="1"/>
  <c r="BG146" i="24"/>
  <c r="BQ142" i="24"/>
  <c r="BU142" i="24" s="1"/>
  <c r="BG142" i="24"/>
  <c r="AY155" i="24"/>
  <c r="AZ155" i="24" s="1"/>
  <c r="BD155" i="24"/>
  <c r="BE155" i="24"/>
  <c r="BR155" i="24" s="1"/>
  <c r="BD192" i="24"/>
  <c r="AY192" i="24"/>
  <c r="AZ192" i="24" s="1"/>
  <c r="BE192" i="24"/>
  <c r="BR192" i="24" s="1"/>
  <c r="AY110" i="24"/>
  <c r="AZ110" i="24" s="1"/>
  <c r="BD110" i="24"/>
  <c r="BE110" i="24"/>
  <c r="BR110" i="24" s="1"/>
  <c r="BD114" i="24"/>
  <c r="BE114" i="24"/>
  <c r="BR114" i="24" s="1"/>
  <c r="AY114" i="24"/>
  <c r="AZ114" i="24" s="1"/>
  <c r="BQ198" i="24"/>
  <c r="BU198" i="24" s="1"/>
  <c r="BG198" i="24"/>
  <c r="BG174" i="24"/>
  <c r="BQ174" i="24"/>
  <c r="BU174" i="24" s="1"/>
  <c r="BQ202" i="24"/>
  <c r="BU202" i="24" s="1"/>
  <c r="BG202" i="24"/>
  <c r="BQ125" i="24"/>
  <c r="BU125" i="24" s="1"/>
  <c r="BG125" i="24"/>
  <c r="BQ137" i="24"/>
  <c r="BU137" i="24" s="1"/>
  <c r="BG137" i="24"/>
  <c r="BQ190" i="24"/>
  <c r="BG190" i="24"/>
  <c r="BL190" i="24" s="1"/>
  <c r="BQ180" i="24"/>
  <c r="BU180" i="24" s="1"/>
  <c r="BG180" i="24"/>
  <c r="BQ160" i="24"/>
  <c r="BU160" i="24" s="1"/>
  <c r="BG160" i="24"/>
  <c r="BQ143" i="24"/>
  <c r="BU143" i="24" s="1"/>
  <c r="BG143" i="24"/>
  <c r="BQ111" i="24"/>
  <c r="BU111" i="24" s="1"/>
  <c r="BG111" i="24"/>
  <c r="BQ117" i="24"/>
  <c r="BU117" i="24" s="1"/>
  <c r="BG117" i="24"/>
  <c r="BQ207" i="24"/>
  <c r="BU207" i="24" s="1"/>
  <c r="BG207" i="24"/>
  <c r="BQ118" i="24"/>
  <c r="BU118" i="24" s="1"/>
  <c r="BG118" i="24"/>
  <c r="BQ139" i="24"/>
  <c r="BU139" i="24" s="1"/>
  <c r="BG139" i="24"/>
  <c r="BQ122" i="24"/>
  <c r="BU122" i="24" s="1"/>
  <c r="BG122" i="24"/>
  <c r="BE58" i="25"/>
  <c r="BV58" i="25" s="1"/>
  <c r="BX58" i="25" s="1"/>
  <c r="BY58" i="25" s="1"/>
  <c r="AZ88" i="24"/>
  <c r="AZ49" i="24"/>
  <c r="BD73" i="24"/>
  <c r="BQ73" i="24" s="1"/>
  <c r="BE73" i="24"/>
  <c r="BR73" i="24" s="1"/>
  <c r="BE33" i="24"/>
  <c r="BR33" i="24" s="1"/>
  <c r="BD33" i="24"/>
  <c r="BG33" i="24" s="1"/>
  <c r="BL33" i="24" s="1"/>
  <c r="BD86" i="24"/>
  <c r="BG86" i="24" s="1"/>
  <c r="BL86" i="24" s="1"/>
  <c r="BE43" i="24"/>
  <c r="BR43" i="24" s="1"/>
  <c r="BQ104" i="24"/>
  <c r="BV104" i="24" s="1"/>
  <c r="BX104" i="24" s="1"/>
  <c r="BY104" i="24" s="1"/>
  <c r="BE51" i="24"/>
  <c r="BR51" i="24" s="1"/>
  <c r="BD51" i="24"/>
  <c r="BQ51" i="24" s="1"/>
  <c r="BE27" i="24"/>
  <c r="BR27" i="24" s="1"/>
  <c r="BD43" i="24"/>
  <c r="BQ43" i="24" s="1"/>
  <c r="BD97" i="24"/>
  <c r="BG97" i="24" s="1"/>
  <c r="BL97" i="24" s="1"/>
  <c r="BB105" i="24"/>
  <c r="B118" i="2" s="1"/>
  <c r="B119" i="2" s="1"/>
  <c r="E16" i="1" s="1"/>
  <c r="BE86" i="24"/>
  <c r="BR86" i="24" s="1"/>
  <c r="BE23" i="24"/>
  <c r="BR23" i="24" s="1"/>
  <c r="BD23" i="24"/>
  <c r="BG23" i="24" s="1"/>
  <c r="BL23" i="24" s="1"/>
  <c r="BD64" i="24"/>
  <c r="BG64" i="24" s="1"/>
  <c r="BL64" i="24" s="1"/>
  <c r="BE97" i="24"/>
  <c r="BR97" i="24" s="1"/>
  <c r="BE64" i="24"/>
  <c r="BR64" i="24" s="1"/>
  <c r="BE49" i="24"/>
  <c r="BR49" i="24" s="1"/>
  <c r="BD27" i="24"/>
  <c r="BG27" i="24" s="1"/>
  <c r="BL27" i="24" s="1"/>
  <c r="AU49" i="24"/>
  <c r="BB49" i="24" s="1"/>
  <c r="BD49" i="24"/>
  <c r="BG49" i="24" s="1"/>
  <c r="BL49" i="24" s="1"/>
  <c r="BG69" i="24"/>
  <c r="BV69" i="24" s="1"/>
  <c r="BX69" i="24" s="1"/>
  <c r="BY69" i="24" s="1"/>
  <c r="BD81" i="24"/>
  <c r="BQ81" i="24" s="1"/>
  <c r="BE88" i="24"/>
  <c r="BR88" i="24" s="1"/>
  <c r="AU88" i="24"/>
  <c r="BB88" i="24" s="1"/>
  <c r="BD65" i="24"/>
  <c r="BG65" i="24" s="1"/>
  <c r="BL65" i="24" s="1"/>
  <c r="BE65" i="24"/>
  <c r="BR65" i="24" s="1"/>
  <c r="BD88" i="24"/>
  <c r="BG88" i="24" s="1"/>
  <c r="BL88" i="24" s="1"/>
  <c r="BE22" i="24"/>
  <c r="BR22" i="24" s="1"/>
  <c r="BU69" i="24"/>
  <c r="BD35" i="24"/>
  <c r="BQ35" i="24" s="1"/>
  <c r="BE81" i="24"/>
  <c r="BR81" i="24" s="1"/>
  <c r="BE35" i="24"/>
  <c r="BR35" i="24" s="1"/>
  <c r="BQ34" i="24"/>
  <c r="BU34" i="24" s="1"/>
  <c r="AW71" i="24"/>
  <c r="AU71" i="24"/>
  <c r="BB71" i="24" s="1"/>
  <c r="AU13" i="24"/>
  <c r="BB13" i="24" s="1"/>
  <c r="AW13" i="24"/>
  <c r="BD22" i="24"/>
  <c r="BG22" i="24" s="1"/>
  <c r="BL22" i="24" s="1"/>
  <c r="BV5" i="24"/>
  <c r="BX5" i="24" s="1"/>
  <c r="BY5" i="24" s="1"/>
  <c r="AU15" i="24"/>
  <c r="BB15" i="24" s="1"/>
  <c r="AW15" i="24"/>
  <c r="AW102" i="24"/>
  <c r="AU102" i="24"/>
  <c r="BB102" i="24" s="1"/>
  <c r="AU48" i="24"/>
  <c r="BB48" i="24" s="1"/>
  <c r="AW48" i="24"/>
  <c r="AU93" i="24"/>
  <c r="BB93" i="24" s="1"/>
  <c r="AW93" i="24"/>
  <c r="AU94" i="24"/>
  <c r="BB94" i="24" s="1"/>
  <c r="AW94" i="24"/>
  <c r="AW37" i="24"/>
  <c r="AU37" i="24"/>
  <c r="BB37" i="24" s="1"/>
  <c r="AW8" i="24"/>
  <c r="AU8" i="24"/>
  <c r="BB8" i="24" s="1"/>
  <c r="AU44" i="24"/>
  <c r="BB44" i="24" s="1"/>
  <c r="AW44" i="24"/>
  <c r="AU77" i="24"/>
  <c r="BB77" i="24" s="1"/>
  <c r="AW77" i="24"/>
  <c r="AW80" i="24"/>
  <c r="AU80" i="24"/>
  <c r="BB80" i="24" s="1"/>
  <c r="AU38" i="24"/>
  <c r="BB38" i="24" s="1"/>
  <c r="AW38" i="24"/>
  <c r="AU24" i="24"/>
  <c r="BB24" i="24" s="1"/>
  <c r="AW24" i="24"/>
  <c r="AU45" i="24"/>
  <c r="BB45" i="24" s="1"/>
  <c r="AW45" i="24"/>
  <c r="AU103" i="24"/>
  <c r="BB103" i="24" s="1"/>
  <c r="AW103" i="24"/>
  <c r="AW47" i="24"/>
  <c r="AU47" i="24"/>
  <c r="BB47" i="24" s="1"/>
  <c r="AW66" i="24"/>
  <c r="AU66" i="24"/>
  <c r="BB66" i="24" s="1"/>
  <c r="AW62" i="24"/>
  <c r="AU62" i="24"/>
  <c r="BB62" i="24" s="1"/>
  <c r="AW30" i="24"/>
  <c r="AU30" i="24"/>
  <c r="BB30" i="24" s="1"/>
  <c r="AU99" i="24"/>
  <c r="BB99" i="24" s="1"/>
  <c r="AW99" i="24"/>
  <c r="AU75" i="24"/>
  <c r="BB75" i="24" s="1"/>
  <c r="AW75" i="24"/>
  <c r="AW61" i="24"/>
  <c r="AU61" i="24"/>
  <c r="BB61" i="24" s="1"/>
  <c r="AW20" i="24"/>
  <c r="AU20" i="24"/>
  <c r="BB20" i="24" s="1"/>
  <c r="AU90" i="24"/>
  <c r="BB90" i="24" s="1"/>
  <c r="AW90" i="24"/>
  <c r="AU52" i="24"/>
  <c r="BB52" i="24" s="1"/>
  <c r="AW52" i="24"/>
  <c r="AW39" i="24"/>
  <c r="AU39" i="24"/>
  <c r="BB39" i="24" s="1"/>
  <c r="AW26" i="24"/>
  <c r="AU26" i="24"/>
  <c r="BB26" i="24" s="1"/>
  <c r="AU9" i="24"/>
  <c r="BB9" i="24" s="1"/>
  <c r="AW9" i="24"/>
  <c r="AU84" i="24"/>
  <c r="BB84" i="24" s="1"/>
  <c r="AW84" i="24"/>
  <c r="AW58" i="24"/>
  <c r="AU58" i="24"/>
  <c r="BB58" i="24" s="1"/>
  <c r="AU57" i="24"/>
  <c r="BB57" i="24" s="1"/>
  <c r="AW57" i="24"/>
  <c r="AU17" i="24"/>
  <c r="BB17" i="24" s="1"/>
  <c r="AW17" i="24"/>
  <c r="AU76" i="24"/>
  <c r="BB76" i="24" s="1"/>
  <c r="AW76" i="24"/>
  <c r="AU11" i="24"/>
  <c r="BB11" i="24" s="1"/>
  <c r="AW11" i="24"/>
  <c r="AU67" i="24"/>
  <c r="BB67" i="24" s="1"/>
  <c r="AW67" i="24"/>
  <c r="AU12" i="24"/>
  <c r="BB12" i="24" s="1"/>
  <c r="AW12" i="24"/>
  <c r="AU98" i="24"/>
  <c r="BB98" i="24" s="1"/>
  <c r="AW98" i="24"/>
  <c r="AU16" i="24"/>
  <c r="BB16" i="24" s="1"/>
  <c r="AW16" i="24"/>
  <c r="AU6" i="24"/>
  <c r="BB6" i="24" s="1"/>
  <c r="AW6" i="24"/>
  <c r="AW7" i="24"/>
  <c r="AU7" i="24"/>
  <c r="BB7" i="24" s="1"/>
  <c r="BQ22" i="24"/>
  <c r="BA5" i="25"/>
  <c r="BC5" i="25"/>
  <c r="BR5" i="25" s="1"/>
  <c r="BB5" i="25"/>
  <c r="BQ40" i="24"/>
  <c r="BU40" i="24" s="1"/>
  <c r="BP95" i="25"/>
  <c r="BP85" i="25"/>
  <c r="BP18" i="25"/>
  <c r="BE90" i="25"/>
  <c r="BJ90" i="25" s="1"/>
  <c r="BE98" i="25"/>
  <c r="BJ98" i="25" s="1"/>
  <c r="BE55" i="25"/>
  <c r="BJ55" i="25" s="1"/>
  <c r="BE33" i="25"/>
  <c r="BJ33" i="25" s="1"/>
  <c r="BE65" i="25"/>
  <c r="BJ65" i="25" s="1"/>
  <c r="BE60" i="25"/>
  <c r="BJ60" i="25" s="1"/>
  <c r="BU58" i="25"/>
  <c r="BQ52" i="25"/>
  <c r="BQ74" i="25"/>
  <c r="BQ27" i="25"/>
  <c r="BQ42" i="25"/>
  <c r="BQ102" i="25"/>
  <c r="BQ77" i="25"/>
  <c r="BQ26" i="25"/>
  <c r="BQ105" i="25"/>
  <c r="BQ39" i="25"/>
  <c r="BQ60" i="25"/>
  <c r="BQ98" i="25"/>
  <c r="BQ92" i="25"/>
  <c r="BQ94" i="25"/>
  <c r="BQ91" i="25"/>
  <c r="BQ67" i="25"/>
  <c r="BQ64" i="25"/>
  <c r="BQ41" i="25"/>
  <c r="BQ79" i="25"/>
  <c r="BQ76" i="25"/>
  <c r="BQ11" i="25"/>
  <c r="BQ104" i="25"/>
  <c r="BQ96" i="25"/>
  <c r="BQ24" i="25"/>
  <c r="BQ51" i="25"/>
  <c r="BQ47" i="25"/>
  <c r="BQ46" i="25"/>
  <c r="BQ8" i="25"/>
  <c r="BQ50" i="25"/>
  <c r="BQ49" i="25"/>
  <c r="BQ56" i="25"/>
  <c r="BQ34" i="25"/>
  <c r="BQ70" i="25"/>
  <c r="BQ18" i="25"/>
  <c r="BQ65" i="25"/>
  <c r="BQ57" i="25"/>
  <c r="BQ66" i="25"/>
  <c r="BQ43" i="25"/>
  <c r="BQ84" i="25"/>
  <c r="BQ13" i="25"/>
  <c r="BQ35" i="25"/>
  <c r="BQ36" i="25"/>
  <c r="BQ25" i="25"/>
  <c r="BQ63" i="25"/>
  <c r="BQ28" i="25"/>
  <c r="BQ40" i="25"/>
  <c r="BQ37" i="25"/>
  <c r="BQ33" i="25"/>
  <c r="BQ10" i="25"/>
  <c r="BQ20" i="25"/>
  <c r="BQ97" i="25"/>
  <c r="BQ45" i="25"/>
  <c r="BQ82" i="25"/>
  <c r="BQ61" i="25"/>
  <c r="BQ69" i="25"/>
  <c r="BQ75" i="25"/>
  <c r="BQ80" i="25"/>
  <c r="BQ83" i="25"/>
  <c r="BQ93" i="25"/>
  <c r="BQ78" i="25"/>
  <c r="BQ100" i="25"/>
  <c r="BQ103" i="25"/>
  <c r="BQ88" i="25"/>
  <c r="BQ71" i="25"/>
  <c r="BQ48" i="25"/>
  <c r="BQ86" i="25"/>
  <c r="BQ81" i="25"/>
  <c r="BQ90" i="25"/>
  <c r="BQ95" i="25"/>
  <c r="BQ23" i="25"/>
  <c r="BQ14" i="25"/>
  <c r="BQ68" i="25"/>
  <c r="BQ9" i="25"/>
  <c r="BQ62" i="25"/>
  <c r="BQ87" i="25"/>
  <c r="BQ30" i="25"/>
  <c r="BQ53" i="25"/>
  <c r="BQ17" i="25"/>
  <c r="BQ19" i="25"/>
  <c r="BQ44" i="25"/>
  <c r="BQ12" i="25"/>
  <c r="BQ72" i="25"/>
  <c r="BQ15" i="25"/>
  <c r="BQ16" i="25"/>
  <c r="BQ59" i="25"/>
  <c r="BQ38" i="25"/>
  <c r="BQ31" i="25"/>
  <c r="BQ22" i="25"/>
  <c r="BQ101" i="25"/>
  <c r="BQ29" i="25"/>
  <c r="BQ54" i="25"/>
  <c r="BQ89" i="25"/>
  <c r="BQ21" i="25"/>
  <c r="BQ55" i="25"/>
  <c r="BQ32" i="25"/>
  <c r="BQ99" i="25"/>
  <c r="BQ73" i="25"/>
  <c r="BQ85" i="25"/>
  <c r="BQ7" i="25"/>
  <c r="BQ6" i="25"/>
  <c r="BE43" i="25"/>
  <c r="BJ43" i="25" s="1"/>
  <c r="BP57" i="25"/>
  <c r="BE73" i="25"/>
  <c r="BJ73" i="25" s="1"/>
  <c r="BP66" i="25"/>
  <c r="BP84" i="25"/>
  <c r="BE32" i="25"/>
  <c r="BE99" i="25"/>
  <c r="BJ99" i="25" s="1"/>
  <c r="BJ66" i="25"/>
  <c r="BP45" i="25"/>
  <c r="BE45" i="25"/>
  <c r="BP23" i="25"/>
  <c r="BE23" i="25"/>
  <c r="BP36" i="25"/>
  <c r="BE36" i="25"/>
  <c r="BE6" i="25"/>
  <c r="BP6" i="25"/>
  <c r="BP21" i="25"/>
  <c r="BE21" i="25"/>
  <c r="BP92" i="25"/>
  <c r="BE92" i="25"/>
  <c r="BP94" i="25"/>
  <c r="BE94" i="25"/>
  <c r="BP91" i="25"/>
  <c r="BE91" i="25"/>
  <c r="BP67" i="25"/>
  <c r="BE67" i="25"/>
  <c r="BP19" i="25"/>
  <c r="BE19" i="25"/>
  <c r="BP64" i="25"/>
  <c r="BE64" i="25"/>
  <c r="BP15" i="25"/>
  <c r="BE15" i="25"/>
  <c r="BP59" i="25"/>
  <c r="BE59" i="25"/>
  <c r="BP38" i="25"/>
  <c r="BE38" i="25"/>
  <c r="BP104" i="25"/>
  <c r="BE104" i="25"/>
  <c r="BP96" i="25"/>
  <c r="BE96" i="25"/>
  <c r="BP24" i="25"/>
  <c r="BE24" i="25"/>
  <c r="BP46" i="25"/>
  <c r="BE46" i="25"/>
  <c r="BP8" i="25"/>
  <c r="BE8" i="25"/>
  <c r="BP54" i="25"/>
  <c r="BE54" i="25"/>
  <c r="BP89" i="25"/>
  <c r="BE89" i="25"/>
  <c r="BP86" i="25"/>
  <c r="BE86" i="25"/>
  <c r="BP81" i="25"/>
  <c r="BE81" i="25"/>
  <c r="BP52" i="25"/>
  <c r="BE52" i="25"/>
  <c r="BP13" i="25"/>
  <c r="BE13" i="25"/>
  <c r="BP20" i="25"/>
  <c r="BE20" i="25"/>
  <c r="BP97" i="25"/>
  <c r="BE97" i="25"/>
  <c r="BP74" i="25"/>
  <c r="BE74" i="25"/>
  <c r="BP35" i="25"/>
  <c r="BE35" i="25"/>
  <c r="BP61" i="25"/>
  <c r="BE61" i="25"/>
  <c r="BP69" i="25"/>
  <c r="BE69" i="25"/>
  <c r="BP75" i="25"/>
  <c r="BE75" i="25"/>
  <c r="BP80" i="25"/>
  <c r="BE80" i="25"/>
  <c r="BP83" i="25"/>
  <c r="BE83" i="25"/>
  <c r="BP25" i="25"/>
  <c r="BE25" i="25"/>
  <c r="BP68" i="25"/>
  <c r="BE68" i="25"/>
  <c r="BP77" i="25"/>
  <c r="BE77" i="25"/>
  <c r="BP63" i="25"/>
  <c r="BE63" i="25"/>
  <c r="BE9" i="25"/>
  <c r="BP9" i="25"/>
  <c r="BP28" i="25"/>
  <c r="BE28" i="25"/>
  <c r="BP26" i="25"/>
  <c r="BE26" i="25"/>
  <c r="BP62" i="25"/>
  <c r="BE62" i="25"/>
  <c r="BP105" i="25"/>
  <c r="BE105" i="25"/>
  <c r="BJ57" i="25"/>
  <c r="BP71" i="25"/>
  <c r="BE71" i="25"/>
  <c r="BJ18" i="25"/>
  <c r="BJ95" i="25"/>
  <c r="BP48" i="25"/>
  <c r="BE48" i="25"/>
  <c r="BP56" i="25"/>
  <c r="BE56" i="25"/>
  <c r="BP34" i="25"/>
  <c r="BE34" i="25"/>
  <c r="BP70" i="25"/>
  <c r="BE70" i="25"/>
  <c r="BP10" i="25"/>
  <c r="BE10" i="25"/>
  <c r="BP82" i="25"/>
  <c r="BE82" i="25"/>
  <c r="BJ84" i="25"/>
  <c r="BP27" i="25"/>
  <c r="BE27" i="25"/>
  <c r="BP42" i="25"/>
  <c r="BE42" i="25"/>
  <c r="BP14" i="25"/>
  <c r="BE14" i="25"/>
  <c r="BP102" i="25"/>
  <c r="BE102" i="25"/>
  <c r="BP93" i="25"/>
  <c r="BE93" i="25"/>
  <c r="BP78" i="25"/>
  <c r="BE78" i="25"/>
  <c r="BP100" i="25"/>
  <c r="BE100" i="25"/>
  <c r="BP103" i="25"/>
  <c r="BE103" i="25"/>
  <c r="BP88" i="25"/>
  <c r="BE88" i="25"/>
  <c r="BP40" i="25"/>
  <c r="BE40" i="25"/>
  <c r="BP39" i="25"/>
  <c r="BE39" i="25"/>
  <c r="BP37" i="25"/>
  <c r="BE37" i="25"/>
  <c r="BJ85" i="25"/>
  <c r="BP17" i="25"/>
  <c r="BE17" i="25"/>
  <c r="BP16" i="25"/>
  <c r="BE16" i="25"/>
  <c r="BP51" i="25"/>
  <c r="BE51" i="25"/>
  <c r="BP47" i="25"/>
  <c r="BE47" i="25"/>
  <c r="BE7" i="25"/>
  <c r="BP7" i="25"/>
  <c r="BP30" i="25"/>
  <c r="BE30" i="25"/>
  <c r="BP53" i="25"/>
  <c r="BE53" i="25"/>
  <c r="BP44" i="25"/>
  <c r="BE44" i="25"/>
  <c r="BP12" i="25"/>
  <c r="BE12" i="25"/>
  <c r="BP72" i="25"/>
  <c r="BE72" i="25"/>
  <c r="BP41" i="25"/>
  <c r="BE41" i="25"/>
  <c r="BP79" i="25"/>
  <c r="BE79" i="25"/>
  <c r="BP76" i="25"/>
  <c r="BE76" i="25"/>
  <c r="BP11" i="25"/>
  <c r="BE11" i="25"/>
  <c r="BP31" i="25"/>
  <c r="BE31" i="25"/>
  <c r="BP22" i="25"/>
  <c r="BE22" i="25"/>
  <c r="BP101" i="25"/>
  <c r="BE101" i="25"/>
  <c r="BP29" i="25"/>
  <c r="BE29" i="25"/>
  <c r="BP50" i="25"/>
  <c r="BE50" i="25"/>
  <c r="BP49" i="25"/>
  <c r="BE49" i="25"/>
  <c r="BP87" i="25"/>
  <c r="BE87" i="25"/>
  <c r="BU56" i="24"/>
  <c r="BU31" i="24"/>
  <c r="BU18" i="24"/>
  <c r="BU50" i="24"/>
  <c r="BU101" i="24"/>
  <c r="BU10" i="24"/>
  <c r="BU70" i="24"/>
  <c r="BU25" i="24"/>
  <c r="BU72" i="24"/>
  <c r="BU83" i="24"/>
  <c r="BU46" i="24"/>
  <c r="BU100" i="24"/>
  <c r="BU60" i="24"/>
  <c r="BU19" i="24"/>
  <c r="BU42" i="24"/>
  <c r="BU63" i="24"/>
  <c r="BU55" i="24"/>
  <c r="BU28" i="24"/>
  <c r="BL79" i="24"/>
  <c r="BL41" i="24"/>
  <c r="BL54" i="24"/>
  <c r="BL14" i="24"/>
  <c r="BL95" i="24"/>
  <c r="BV32" i="24"/>
  <c r="BX32" i="24" s="1"/>
  <c r="BY32" i="24" s="1"/>
  <c r="BL89" i="24"/>
  <c r="BL74" i="24"/>
  <c r="BL87" i="24"/>
  <c r="BL96" i="24"/>
  <c r="BL78" i="24"/>
  <c r="BL91" i="24"/>
  <c r="BL29" i="24"/>
  <c r="BL82" i="24"/>
  <c r="BL59" i="24"/>
  <c r="BL36" i="24"/>
  <c r="BL105" i="24"/>
  <c r="BL92" i="24"/>
  <c r="BL68" i="24"/>
  <c r="BL21" i="24"/>
  <c r="BL85" i="24"/>
  <c r="BV53" i="24"/>
  <c r="BX53" i="24" s="1"/>
  <c r="BY53" i="24" s="1"/>
  <c r="BQ79" i="24"/>
  <c r="BU79" i="24" s="1"/>
  <c r="BG100" i="24"/>
  <c r="BQ54" i="24"/>
  <c r="BU54" i="24" s="1"/>
  <c r="BQ14" i="24"/>
  <c r="BU14" i="24" s="1"/>
  <c r="BQ95" i="24"/>
  <c r="BU95" i="24" s="1"/>
  <c r="BG83" i="24"/>
  <c r="BG50" i="24"/>
  <c r="BG70" i="24"/>
  <c r="BG25" i="24"/>
  <c r="BG60" i="24"/>
  <c r="BG42" i="24"/>
  <c r="BG55" i="24"/>
  <c r="BG28" i="24"/>
  <c r="BG10" i="24"/>
  <c r="BG101" i="24"/>
  <c r="BG19" i="24"/>
  <c r="BG63" i="24"/>
  <c r="BQ41" i="24"/>
  <c r="BU41" i="24" s="1"/>
  <c r="BG72" i="24"/>
  <c r="BG46" i="24"/>
  <c r="BQ91" i="24"/>
  <c r="BU91" i="24" s="1"/>
  <c r="BQ29" i="24"/>
  <c r="BU29" i="24" s="1"/>
  <c r="BQ59" i="24"/>
  <c r="BU59" i="24" s="1"/>
  <c r="BQ85" i="24"/>
  <c r="BU85" i="24" s="1"/>
  <c r="BQ96" i="24"/>
  <c r="BU96" i="24" s="1"/>
  <c r="BG31" i="24"/>
  <c r="BG56" i="24"/>
  <c r="BG18" i="24"/>
  <c r="BQ82" i="24"/>
  <c r="BU82" i="24" s="1"/>
  <c r="BQ36" i="24"/>
  <c r="BU36" i="24" s="1"/>
  <c r="BQ92" i="24"/>
  <c r="BU92" i="24" s="1"/>
  <c r="BQ68" i="24"/>
  <c r="BU68" i="24" s="1"/>
  <c r="BQ87" i="24"/>
  <c r="BU87" i="24" s="1"/>
  <c r="BQ74" i="24"/>
  <c r="BU74" i="24" s="1"/>
  <c r="BQ78" i="24"/>
  <c r="BU78" i="24" s="1"/>
  <c r="BQ105" i="24"/>
  <c r="BU105" i="24" s="1"/>
  <c r="BQ21" i="24"/>
  <c r="BU21" i="24" s="1"/>
  <c r="BQ89" i="24"/>
  <c r="BU89" i="24" s="1"/>
  <c r="B122" i="2"/>
  <c r="B128" i="2"/>
  <c r="E19" i="1" s="1"/>
  <c r="AZ106" i="19"/>
  <c r="BL106" i="19" s="1"/>
  <c r="BM106" i="19" s="1"/>
  <c r="BZ106" i="19" s="1"/>
  <c r="BK106" i="19"/>
  <c r="B257" i="2"/>
  <c r="BI106" i="19"/>
  <c r="BJ106" i="19"/>
  <c r="BC106" i="19"/>
  <c r="BB106" i="19"/>
  <c r="BD106" i="19"/>
  <c r="BG106" i="19"/>
  <c r="BU106" i="19"/>
  <c r="CA106" i="19" s="1"/>
  <c r="BH106" i="19"/>
  <c r="BA106" i="19"/>
  <c r="BF106" i="19"/>
  <c r="BS106" i="19"/>
  <c r="BE106" i="19"/>
  <c r="BQ165" i="24" l="1"/>
  <c r="BU165" i="24" s="1"/>
  <c r="BG167" i="24"/>
  <c r="BL167" i="24" s="1"/>
  <c r="BJ171" i="25"/>
  <c r="BV171" i="25"/>
  <c r="BX171" i="25" s="1"/>
  <c r="BY171" i="25" s="1"/>
  <c r="BJ154" i="25"/>
  <c r="BV154" i="25"/>
  <c r="BX154" i="25" s="1"/>
  <c r="BY154" i="25" s="1"/>
  <c r="BV147" i="25"/>
  <c r="BX147" i="25" s="1"/>
  <c r="BY147" i="25" s="1"/>
  <c r="BJ147" i="25"/>
  <c r="BV139" i="25"/>
  <c r="BX139" i="25" s="1"/>
  <c r="BY139" i="25" s="1"/>
  <c r="BJ139" i="25"/>
  <c r="BV115" i="25"/>
  <c r="BX115" i="25" s="1"/>
  <c r="BY115" i="25" s="1"/>
  <c r="BJ115" i="25"/>
  <c r="BV200" i="25"/>
  <c r="BX200" i="25" s="1"/>
  <c r="BY200" i="25" s="1"/>
  <c r="BJ200" i="25"/>
  <c r="BV134" i="25"/>
  <c r="BX134" i="25" s="1"/>
  <c r="BY134" i="25" s="1"/>
  <c r="BJ134" i="25"/>
  <c r="BJ126" i="25"/>
  <c r="BV126" i="25"/>
  <c r="BX126" i="25" s="1"/>
  <c r="BY126" i="25" s="1"/>
  <c r="BJ132" i="25"/>
  <c r="BV132" i="25"/>
  <c r="BX132" i="25" s="1"/>
  <c r="BY132" i="25" s="1"/>
  <c r="BJ156" i="25"/>
  <c r="BV156" i="25"/>
  <c r="BX156" i="25" s="1"/>
  <c r="BY156" i="25" s="1"/>
  <c r="BV128" i="25"/>
  <c r="BX128" i="25" s="1"/>
  <c r="BY128" i="25" s="1"/>
  <c r="BJ128" i="25"/>
  <c r="BJ173" i="25"/>
  <c r="BV173" i="25"/>
  <c r="BX173" i="25" s="1"/>
  <c r="BJ127" i="25"/>
  <c r="BV127" i="25"/>
  <c r="BX127" i="25" s="1"/>
  <c r="BY127" i="25" s="1"/>
  <c r="BJ186" i="25"/>
  <c r="BV186" i="25"/>
  <c r="BX186" i="25" s="1"/>
  <c r="BY186" i="25" s="1"/>
  <c r="BJ166" i="25"/>
  <c r="BV166" i="25"/>
  <c r="BX166" i="25" s="1"/>
  <c r="BJ184" i="25"/>
  <c r="BV184" i="25"/>
  <c r="BX184" i="25" s="1"/>
  <c r="BJ157" i="25"/>
  <c r="BV157" i="25"/>
  <c r="BX157" i="25" s="1"/>
  <c r="BY157" i="25" s="1"/>
  <c r="BV124" i="25"/>
  <c r="BX124" i="25" s="1"/>
  <c r="BY124" i="25" s="1"/>
  <c r="BJ124" i="25"/>
  <c r="BV176" i="25"/>
  <c r="BX176" i="25" s="1"/>
  <c r="BJ176" i="25"/>
  <c r="BJ172" i="25"/>
  <c r="BV172" i="25"/>
  <c r="BX172" i="25" s="1"/>
  <c r="BY172" i="25" s="1"/>
  <c r="BJ203" i="25"/>
  <c r="BV203" i="25"/>
  <c r="BX203" i="25" s="1"/>
  <c r="BJ113" i="25"/>
  <c r="BV113" i="25"/>
  <c r="BX113" i="25" s="1"/>
  <c r="BY113" i="25" s="1"/>
  <c r="BV131" i="25"/>
  <c r="BX131" i="25" s="1"/>
  <c r="BY131" i="25" s="1"/>
  <c r="BJ131" i="25"/>
  <c r="BJ178" i="25"/>
  <c r="BV178" i="25"/>
  <c r="BX178" i="25" s="1"/>
  <c r="BY178" i="25" s="1"/>
  <c r="BJ121" i="25"/>
  <c r="BV121" i="25"/>
  <c r="BX121" i="25" s="1"/>
  <c r="BY121" i="25" s="1"/>
  <c r="BP110" i="25"/>
  <c r="BU110" i="25" s="1"/>
  <c r="BE110" i="25"/>
  <c r="BJ129" i="25"/>
  <c r="BV129" i="25"/>
  <c r="BX129" i="25" s="1"/>
  <c r="BY129" i="25" s="1"/>
  <c r="BJ183" i="25"/>
  <c r="BV183" i="25"/>
  <c r="BX183" i="25" s="1"/>
  <c r="BY183" i="25" s="1"/>
  <c r="BV161" i="25"/>
  <c r="BX161" i="25" s="1"/>
  <c r="BY161" i="25" s="1"/>
  <c r="BJ161" i="25"/>
  <c r="BV133" i="25"/>
  <c r="BX133" i="25" s="1"/>
  <c r="BJ133" i="25"/>
  <c r="BV193" i="25"/>
  <c r="BX193" i="25" s="1"/>
  <c r="BY193" i="25" s="1"/>
  <c r="BJ193" i="25"/>
  <c r="BJ138" i="25"/>
  <c r="BV138" i="25"/>
  <c r="BX138" i="25" s="1"/>
  <c r="BY138" i="25" s="1"/>
  <c r="BV144" i="25"/>
  <c r="BX144" i="25" s="1"/>
  <c r="BJ144" i="25"/>
  <c r="BV125" i="25"/>
  <c r="BX125" i="25" s="1"/>
  <c r="BY125" i="25" s="1"/>
  <c r="BJ125" i="25"/>
  <c r="BJ164" i="25"/>
  <c r="BV164" i="25"/>
  <c r="BX164" i="25" s="1"/>
  <c r="BV197" i="25"/>
  <c r="BX197" i="25" s="1"/>
  <c r="BY197" i="25" s="1"/>
  <c r="BJ197" i="25"/>
  <c r="BV112" i="25"/>
  <c r="BX112" i="25" s="1"/>
  <c r="BY112" i="25" s="1"/>
  <c r="BJ112" i="25"/>
  <c r="BJ119" i="25"/>
  <c r="BV119" i="25"/>
  <c r="BX119" i="25" s="1"/>
  <c r="BY119" i="25" s="1"/>
  <c r="BJ206" i="25"/>
  <c r="BV206" i="25"/>
  <c r="BX206" i="25" s="1"/>
  <c r="BV114" i="25"/>
  <c r="BX114" i="25" s="1"/>
  <c r="BY114" i="25" s="1"/>
  <c r="BJ114" i="25"/>
  <c r="BJ137" i="25"/>
  <c r="BV137" i="25"/>
  <c r="BX137" i="25" s="1"/>
  <c r="BY137" i="25" s="1"/>
  <c r="BV136" i="25"/>
  <c r="BX136" i="25" s="1"/>
  <c r="BY136" i="25" s="1"/>
  <c r="BJ136" i="25"/>
  <c r="BJ165" i="25"/>
  <c r="BV165" i="25"/>
  <c r="BX165" i="25" s="1"/>
  <c r="BY165" i="25" s="1"/>
  <c r="BJ185" i="25"/>
  <c r="BV185" i="25"/>
  <c r="BX185" i="25" s="1"/>
  <c r="BY185" i="25" s="1"/>
  <c r="BV141" i="25"/>
  <c r="BX141" i="25" s="1"/>
  <c r="BY141" i="25" s="1"/>
  <c r="BJ141" i="25"/>
  <c r="BJ201" i="25"/>
  <c r="BV201" i="25"/>
  <c r="BX201" i="25" s="1"/>
  <c r="BY201" i="25" s="1"/>
  <c r="BV174" i="25"/>
  <c r="BX174" i="25" s="1"/>
  <c r="BJ174" i="25"/>
  <c r="BV140" i="25"/>
  <c r="BX140" i="25" s="1"/>
  <c r="BY140" i="25" s="1"/>
  <c r="BJ140" i="25"/>
  <c r="BV120" i="25"/>
  <c r="BX120" i="25" s="1"/>
  <c r="BY120" i="25" s="1"/>
  <c r="BJ120" i="25"/>
  <c r="BJ148" i="25"/>
  <c r="BV148" i="25"/>
  <c r="BX148" i="25" s="1"/>
  <c r="BY148" i="25" s="1"/>
  <c r="BV192" i="25"/>
  <c r="BX192" i="25" s="1"/>
  <c r="BY192" i="25" s="1"/>
  <c r="BJ192" i="25"/>
  <c r="BJ117" i="25"/>
  <c r="BV117" i="25"/>
  <c r="BX117" i="25" s="1"/>
  <c r="BY117" i="25" s="1"/>
  <c r="BV181" i="25"/>
  <c r="BX181" i="25" s="1"/>
  <c r="BY181" i="25" s="1"/>
  <c r="BJ181" i="25"/>
  <c r="BV116" i="25"/>
  <c r="BX116" i="25" s="1"/>
  <c r="BY116" i="25" s="1"/>
  <c r="BJ116" i="25"/>
  <c r="BJ123" i="25"/>
  <c r="BV123" i="25"/>
  <c r="BX123" i="25" s="1"/>
  <c r="BY123" i="25" s="1"/>
  <c r="BV170" i="25"/>
  <c r="BX170" i="25" s="1"/>
  <c r="BJ170" i="25"/>
  <c r="BV122" i="25"/>
  <c r="BX122" i="25" s="1"/>
  <c r="BY122" i="25" s="1"/>
  <c r="BJ122" i="25"/>
  <c r="BV210" i="25"/>
  <c r="BX210" i="25" s="1"/>
  <c r="BY210" i="25" s="1"/>
  <c r="BJ210" i="25"/>
  <c r="BJ158" i="25"/>
  <c r="BV158" i="25"/>
  <c r="BX158" i="25" s="1"/>
  <c r="BY158" i="25" s="1"/>
  <c r="BJ163" i="25"/>
  <c r="BV163" i="25"/>
  <c r="BX163" i="25" s="1"/>
  <c r="BY163" i="25" s="1"/>
  <c r="BJ111" i="25"/>
  <c r="BV111" i="25"/>
  <c r="BX111" i="25" s="1"/>
  <c r="BY111" i="25" s="1"/>
  <c r="BJ159" i="25"/>
  <c r="BV159" i="25"/>
  <c r="BX159" i="25" s="1"/>
  <c r="BY159" i="25" s="1"/>
  <c r="BV160" i="25"/>
  <c r="BX160" i="25" s="1"/>
  <c r="BY160" i="25" s="1"/>
  <c r="BJ168" i="25"/>
  <c r="BV168" i="25"/>
  <c r="BX168" i="25" s="1"/>
  <c r="BY168" i="25" s="1"/>
  <c r="BJ191" i="25"/>
  <c r="BV191" i="25"/>
  <c r="BX191" i="25" s="1"/>
  <c r="BY191" i="25" s="1"/>
  <c r="BJ142" i="25"/>
  <c r="BV142" i="25"/>
  <c r="BX142" i="25" s="1"/>
  <c r="BY142" i="25" s="1"/>
  <c r="BJ145" i="25"/>
  <c r="BV145" i="25"/>
  <c r="BX145" i="25" s="1"/>
  <c r="BY145" i="25" s="1"/>
  <c r="BV180" i="25"/>
  <c r="BX180" i="25" s="1"/>
  <c r="BY180" i="25" s="1"/>
  <c r="BJ180" i="25"/>
  <c r="BV204" i="25"/>
  <c r="BX204" i="25" s="1"/>
  <c r="BY204" i="25" s="1"/>
  <c r="BJ204" i="25"/>
  <c r="BV188" i="25"/>
  <c r="BX188" i="25" s="1"/>
  <c r="BY188" i="25" s="1"/>
  <c r="BJ188" i="25"/>
  <c r="BJ155" i="25"/>
  <c r="BV155" i="25"/>
  <c r="BX155" i="25" s="1"/>
  <c r="BV187" i="25"/>
  <c r="BX187" i="25" s="1"/>
  <c r="BY187" i="25" s="1"/>
  <c r="BJ187" i="25"/>
  <c r="BV167" i="25"/>
  <c r="BX167" i="25" s="1"/>
  <c r="BJ167" i="25"/>
  <c r="BJ169" i="25"/>
  <c r="BV169" i="25"/>
  <c r="BX169" i="25" s="1"/>
  <c r="BJ150" i="25"/>
  <c r="BV150" i="25"/>
  <c r="BX150" i="25" s="1"/>
  <c r="BY150" i="25" s="1"/>
  <c r="BJ146" i="25"/>
  <c r="BV146" i="25"/>
  <c r="BX146" i="25" s="1"/>
  <c r="BJ179" i="25"/>
  <c r="BV179" i="25"/>
  <c r="BX179" i="25" s="1"/>
  <c r="BV151" i="25"/>
  <c r="BX151" i="25" s="1"/>
  <c r="BY151" i="25" s="1"/>
  <c r="BJ151" i="25"/>
  <c r="BV153" i="25"/>
  <c r="BX153" i="25" s="1"/>
  <c r="BJ153" i="25"/>
  <c r="BV149" i="25"/>
  <c r="BX149" i="25" s="1"/>
  <c r="BJ149" i="25"/>
  <c r="BJ199" i="25"/>
  <c r="BV199" i="25"/>
  <c r="BX199" i="25" s="1"/>
  <c r="BY199" i="25" s="1"/>
  <c r="BV196" i="25"/>
  <c r="BX196" i="25" s="1"/>
  <c r="BY196" i="25" s="1"/>
  <c r="BJ196" i="25"/>
  <c r="BV205" i="25"/>
  <c r="BX205" i="25" s="1"/>
  <c r="BY205" i="25" s="1"/>
  <c r="BJ205" i="25"/>
  <c r="BJ195" i="25"/>
  <c r="BV195" i="25"/>
  <c r="BX195" i="25" s="1"/>
  <c r="BY195" i="25" s="1"/>
  <c r="BV190" i="25"/>
  <c r="BX190" i="25" s="1"/>
  <c r="BY190" i="25" s="1"/>
  <c r="BJ190" i="25"/>
  <c r="BV194" i="25"/>
  <c r="BX194" i="25" s="1"/>
  <c r="BY194" i="25" s="1"/>
  <c r="BJ194" i="25"/>
  <c r="BJ135" i="25"/>
  <c r="BV135" i="25"/>
  <c r="BX135" i="25" s="1"/>
  <c r="BJ177" i="25"/>
  <c r="BV177" i="25"/>
  <c r="BX177" i="25" s="1"/>
  <c r="BV209" i="25"/>
  <c r="BX209" i="25" s="1"/>
  <c r="BY209" i="25" s="1"/>
  <c r="BJ209" i="25"/>
  <c r="BV118" i="25"/>
  <c r="BX118" i="25" s="1"/>
  <c r="BY118" i="25" s="1"/>
  <c r="BJ118" i="25"/>
  <c r="BV182" i="25"/>
  <c r="BX182" i="25" s="1"/>
  <c r="BY182" i="25" s="1"/>
  <c r="BJ182" i="25"/>
  <c r="BV208" i="25"/>
  <c r="BX208" i="25" s="1"/>
  <c r="BY208" i="25" s="1"/>
  <c r="BJ208" i="25"/>
  <c r="BV130" i="25"/>
  <c r="BX130" i="25" s="1"/>
  <c r="BY130" i="25" s="1"/>
  <c r="BJ130" i="25"/>
  <c r="BJ207" i="25"/>
  <c r="BV207" i="25"/>
  <c r="BX207" i="25" s="1"/>
  <c r="BY207" i="25" s="1"/>
  <c r="BV162" i="25"/>
  <c r="BX162" i="25" s="1"/>
  <c r="BY162" i="25" s="1"/>
  <c r="BJ162" i="25"/>
  <c r="BJ143" i="25"/>
  <c r="BV143" i="25"/>
  <c r="BX143" i="25" s="1"/>
  <c r="BY143" i="25" s="1"/>
  <c r="BV202" i="25"/>
  <c r="BX202" i="25" s="1"/>
  <c r="BY202" i="25" s="1"/>
  <c r="BJ202" i="25"/>
  <c r="BV198" i="25"/>
  <c r="BX198" i="25" s="1"/>
  <c r="BY198" i="25" s="1"/>
  <c r="BJ198" i="25"/>
  <c r="BJ189" i="25"/>
  <c r="BV189" i="25"/>
  <c r="BX189" i="25" s="1"/>
  <c r="BY189" i="25" s="1"/>
  <c r="BJ175" i="25"/>
  <c r="BV175" i="25"/>
  <c r="BX175" i="25" s="1"/>
  <c r="BY175" i="25" s="1"/>
  <c r="BJ152" i="25"/>
  <c r="BV152" i="25"/>
  <c r="BX152" i="25" s="1"/>
  <c r="BY152" i="25" s="1"/>
  <c r="BG115" i="24"/>
  <c r="BL115" i="24" s="1"/>
  <c r="BV122" i="24"/>
  <c r="BX122" i="24" s="1"/>
  <c r="BY122" i="24" s="1"/>
  <c r="BL122" i="24"/>
  <c r="BV118" i="24"/>
  <c r="BX118" i="24" s="1"/>
  <c r="BY118" i="24" s="1"/>
  <c r="BL118" i="24"/>
  <c r="BL111" i="24"/>
  <c r="BV111" i="24"/>
  <c r="BX111" i="24" s="1"/>
  <c r="BY111" i="24" s="1"/>
  <c r="BV125" i="24"/>
  <c r="BX125" i="24" s="1"/>
  <c r="BY125" i="24" s="1"/>
  <c r="BL125" i="24"/>
  <c r="BQ110" i="24"/>
  <c r="BU110" i="24" s="1"/>
  <c r="BG110" i="24"/>
  <c r="BQ192" i="24"/>
  <c r="BU192" i="24" s="1"/>
  <c r="BG192" i="24"/>
  <c r="BV142" i="24"/>
  <c r="BX142" i="24" s="1"/>
  <c r="BY142" i="24" s="1"/>
  <c r="BL142" i="24"/>
  <c r="BQ130" i="24"/>
  <c r="BU130" i="24" s="1"/>
  <c r="BG130" i="24"/>
  <c r="BV120" i="24"/>
  <c r="BX120" i="24" s="1"/>
  <c r="BY120" i="24" s="1"/>
  <c r="BL120" i="24"/>
  <c r="BV154" i="24"/>
  <c r="BX154" i="24" s="1"/>
  <c r="BL154" i="24"/>
  <c r="BV204" i="24"/>
  <c r="BX204" i="24" s="1"/>
  <c r="BL204" i="24"/>
  <c r="BV162" i="24"/>
  <c r="BX162" i="24" s="1"/>
  <c r="BY162" i="24" s="1"/>
  <c r="BL162" i="24"/>
  <c r="BV121" i="24"/>
  <c r="BX121" i="24" s="1"/>
  <c r="BY121" i="24" s="1"/>
  <c r="BL121" i="24"/>
  <c r="BV173" i="24"/>
  <c r="BX173" i="24" s="1"/>
  <c r="BL173" i="24"/>
  <c r="BG208" i="24"/>
  <c r="BQ208" i="24"/>
  <c r="BU208" i="24" s="1"/>
  <c r="BQ210" i="24"/>
  <c r="BU210" i="24" s="1"/>
  <c r="BG210" i="24"/>
  <c r="BV133" i="24"/>
  <c r="BX133" i="24" s="1"/>
  <c r="BY133" i="24" s="1"/>
  <c r="BL133" i="24"/>
  <c r="BV184" i="24"/>
  <c r="BX184" i="24" s="1"/>
  <c r="BY184" i="24" s="1"/>
  <c r="BL184" i="24"/>
  <c r="BV138" i="24"/>
  <c r="BX138" i="24" s="1"/>
  <c r="BY138" i="24" s="1"/>
  <c r="BL138" i="24"/>
  <c r="BQ206" i="24"/>
  <c r="BU206" i="24" s="1"/>
  <c r="BG206" i="24"/>
  <c r="BQ123" i="24"/>
  <c r="BU123" i="24" s="1"/>
  <c r="BG123" i="24"/>
  <c r="BV200" i="24"/>
  <c r="BX200" i="24" s="1"/>
  <c r="BY200" i="24" s="1"/>
  <c r="BL200" i="24"/>
  <c r="BQ161" i="24"/>
  <c r="BU161" i="24" s="1"/>
  <c r="BG161" i="24"/>
  <c r="BV178" i="24"/>
  <c r="BX178" i="24" s="1"/>
  <c r="BY178" i="24" s="1"/>
  <c r="BL178" i="24"/>
  <c r="BV201" i="24"/>
  <c r="BX201" i="24" s="1"/>
  <c r="BL201" i="24"/>
  <c r="BQ176" i="24"/>
  <c r="BU176" i="24" s="1"/>
  <c r="BG176" i="24"/>
  <c r="BV185" i="24"/>
  <c r="BX185" i="24" s="1"/>
  <c r="BY185" i="24" s="1"/>
  <c r="BU185" i="24"/>
  <c r="BV170" i="24"/>
  <c r="BX170" i="24" s="1"/>
  <c r="BL170" i="24"/>
  <c r="BQ159" i="24"/>
  <c r="BU159" i="24" s="1"/>
  <c r="BG159" i="24"/>
  <c r="BQ181" i="24"/>
  <c r="BG181" i="24"/>
  <c r="BL181" i="24" s="1"/>
  <c r="BQ136" i="24"/>
  <c r="BU136" i="24" s="1"/>
  <c r="BG136" i="24"/>
  <c r="BV116" i="24"/>
  <c r="BX116" i="24" s="1"/>
  <c r="BY116" i="24" s="1"/>
  <c r="BL116" i="24"/>
  <c r="BV158" i="24"/>
  <c r="BX158" i="24" s="1"/>
  <c r="BY158" i="24" s="1"/>
  <c r="BL158" i="24"/>
  <c r="BL131" i="24"/>
  <c r="BV131" i="24"/>
  <c r="BX131" i="24" s="1"/>
  <c r="BY131" i="24" s="1"/>
  <c r="BV128" i="24"/>
  <c r="BX128" i="24" s="1"/>
  <c r="BY128" i="24" s="1"/>
  <c r="BL128" i="24"/>
  <c r="BL147" i="24"/>
  <c r="BV147" i="24"/>
  <c r="BX147" i="24" s="1"/>
  <c r="BY147" i="24" s="1"/>
  <c r="BL127" i="24"/>
  <c r="BV127" i="24"/>
  <c r="BX127" i="24" s="1"/>
  <c r="BY127" i="24" s="1"/>
  <c r="BQ199" i="24"/>
  <c r="BU199" i="24" s="1"/>
  <c r="BG199" i="24"/>
  <c r="BQ194" i="24"/>
  <c r="BU194" i="24" s="1"/>
  <c r="BG194" i="24"/>
  <c r="BL139" i="24"/>
  <c r="BV139" i="24"/>
  <c r="BX139" i="24" s="1"/>
  <c r="BL207" i="24"/>
  <c r="BV207" i="24"/>
  <c r="BX207" i="24" s="1"/>
  <c r="BL143" i="24"/>
  <c r="BV143" i="24"/>
  <c r="BX143" i="24" s="1"/>
  <c r="BY143" i="24" s="1"/>
  <c r="BV180" i="24"/>
  <c r="BX180" i="24" s="1"/>
  <c r="BL180" i="24"/>
  <c r="BV137" i="24"/>
  <c r="BX137" i="24" s="1"/>
  <c r="BY137" i="24" s="1"/>
  <c r="BL137" i="24"/>
  <c r="BV202" i="24"/>
  <c r="BX202" i="24" s="1"/>
  <c r="BY202" i="24" s="1"/>
  <c r="BL202" i="24"/>
  <c r="BV198" i="24"/>
  <c r="BX198" i="24" s="1"/>
  <c r="BL198" i="24"/>
  <c r="BQ114" i="24"/>
  <c r="BU114" i="24" s="1"/>
  <c r="BG114" i="24"/>
  <c r="BQ155" i="24"/>
  <c r="BU155" i="24" s="1"/>
  <c r="BG155" i="24"/>
  <c r="BV146" i="24"/>
  <c r="BX146" i="24" s="1"/>
  <c r="BY146" i="24" s="1"/>
  <c r="BL146" i="24"/>
  <c r="BQ189" i="24"/>
  <c r="BG189" i="24"/>
  <c r="BL189" i="24" s="1"/>
  <c r="BV145" i="24"/>
  <c r="BX145" i="24" s="1"/>
  <c r="BY145" i="24" s="1"/>
  <c r="BL145" i="24"/>
  <c r="BL175" i="24"/>
  <c r="BV175" i="24"/>
  <c r="BX175" i="24" s="1"/>
  <c r="BY175" i="24" s="1"/>
  <c r="BV124" i="24"/>
  <c r="BX124" i="24" s="1"/>
  <c r="BY124" i="24" s="1"/>
  <c r="BL124" i="24"/>
  <c r="BV132" i="24"/>
  <c r="BX132" i="24" s="1"/>
  <c r="BY132" i="24" s="1"/>
  <c r="BL132" i="24"/>
  <c r="BL179" i="24"/>
  <c r="BV179" i="24"/>
  <c r="BX179" i="24" s="1"/>
  <c r="BV166" i="24"/>
  <c r="BX166" i="24" s="1"/>
  <c r="BY166" i="24" s="1"/>
  <c r="BL166" i="24"/>
  <c r="BV177" i="24"/>
  <c r="BX177" i="24" s="1"/>
  <c r="BY177" i="24" s="1"/>
  <c r="BL177" i="24"/>
  <c r="BL171" i="24"/>
  <c r="BV171" i="24"/>
  <c r="BX171" i="24" s="1"/>
  <c r="BY171" i="24" s="1"/>
  <c r="BV197" i="24"/>
  <c r="BX197" i="24" s="1"/>
  <c r="BY197" i="24" s="1"/>
  <c r="BL197" i="24"/>
  <c r="BV113" i="24"/>
  <c r="BX113" i="24" s="1"/>
  <c r="BY113" i="24" s="1"/>
  <c r="BL113" i="24"/>
  <c r="BV140" i="24"/>
  <c r="BX140" i="24" s="1"/>
  <c r="BY140" i="24" s="1"/>
  <c r="BL140" i="24"/>
  <c r="BV150" i="24"/>
  <c r="BX150" i="24" s="1"/>
  <c r="BL150" i="24"/>
  <c r="BQ182" i="24"/>
  <c r="BG182" i="24"/>
  <c r="BL182" i="24" s="1"/>
  <c r="BQ195" i="24"/>
  <c r="BU195" i="24" s="1"/>
  <c r="BG195" i="24"/>
  <c r="BQ169" i="24"/>
  <c r="BU169" i="24" s="1"/>
  <c r="BG169" i="24"/>
  <c r="BV165" i="24"/>
  <c r="BX165" i="24" s="1"/>
  <c r="BY165" i="24" s="1"/>
  <c r="BL165" i="24"/>
  <c r="BL135" i="24"/>
  <c r="BV135" i="24"/>
  <c r="BX135" i="24" s="1"/>
  <c r="BY135" i="24" s="1"/>
  <c r="BV164" i="24"/>
  <c r="BX164" i="24" s="1"/>
  <c r="BY164" i="24" s="1"/>
  <c r="BL164" i="24"/>
  <c r="BV129" i="24"/>
  <c r="BX129" i="24" s="1"/>
  <c r="BY129" i="24" s="1"/>
  <c r="BL129" i="24"/>
  <c r="BV126" i="24"/>
  <c r="BX126" i="24" s="1"/>
  <c r="BY126" i="24" s="1"/>
  <c r="BL126" i="24"/>
  <c r="BV157" i="24"/>
  <c r="BX157" i="24" s="1"/>
  <c r="BY157" i="24" s="1"/>
  <c r="BL157" i="24"/>
  <c r="BQ156" i="24"/>
  <c r="BU156" i="24" s="1"/>
  <c r="BG156" i="24"/>
  <c r="BQ149" i="24"/>
  <c r="BU149" i="24" s="1"/>
  <c r="BG149" i="24"/>
  <c r="BQ172" i="24"/>
  <c r="BU172" i="24" s="1"/>
  <c r="BG172" i="24"/>
  <c r="BQ193" i="24"/>
  <c r="BU193" i="24" s="1"/>
  <c r="BG193" i="24"/>
  <c r="BV117" i="24"/>
  <c r="BX117" i="24" s="1"/>
  <c r="BY117" i="24" s="1"/>
  <c r="BL117" i="24"/>
  <c r="BV160" i="24"/>
  <c r="BX160" i="24" s="1"/>
  <c r="BL160" i="24"/>
  <c r="BQ168" i="24"/>
  <c r="BU168" i="24" s="1"/>
  <c r="BG168" i="24"/>
  <c r="BL183" i="24"/>
  <c r="BV183" i="24"/>
  <c r="BX183" i="24" s="1"/>
  <c r="BY183" i="24" s="1"/>
  <c r="BV148" i="24"/>
  <c r="BX148" i="24" s="1"/>
  <c r="BY148" i="24" s="1"/>
  <c r="BL148" i="24"/>
  <c r="BV153" i="24"/>
  <c r="BX153" i="24" s="1"/>
  <c r="BY153" i="24" s="1"/>
  <c r="BL153" i="24"/>
  <c r="BV186" i="24"/>
  <c r="BX186" i="24" s="1"/>
  <c r="BY186" i="24" s="1"/>
  <c r="BU186" i="24"/>
  <c r="BQ188" i="24"/>
  <c r="BU188" i="24" s="1"/>
  <c r="BG188" i="24"/>
  <c r="BQ112" i="24"/>
  <c r="BU112" i="24" s="1"/>
  <c r="BG112" i="24"/>
  <c r="BQ141" i="24"/>
  <c r="BU141" i="24" s="1"/>
  <c r="BG141" i="24"/>
  <c r="BV190" i="24"/>
  <c r="BX190" i="24" s="1"/>
  <c r="BU190" i="24"/>
  <c r="BV174" i="24"/>
  <c r="BX174" i="24" s="1"/>
  <c r="BY174" i="24" s="1"/>
  <c r="BL174" i="24"/>
  <c r="BV196" i="24"/>
  <c r="BX196" i="24" s="1"/>
  <c r="BY196" i="24" s="1"/>
  <c r="BL196" i="24"/>
  <c r="BG209" i="24"/>
  <c r="BQ209" i="24"/>
  <c r="BU209" i="24" s="1"/>
  <c r="BQ134" i="24"/>
  <c r="BU134" i="24" s="1"/>
  <c r="BG134" i="24"/>
  <c r="BV205" i="24"/>
  <c r="BX205" i="24" s="1"/>
  <c r="BY205" i="24" s="1"/>
  <c r="BL205" i="24"/>
  <c r="BQ191" i="24"/>
  <c r="BU191" i="24" s="1"/>
  <c r="BG191" i="24"/>
  <c r="BQ119" i="24"/>
  <c r="BU119" i="24" s="1"/>
  <c r="BG119" i="24"/>
  <c r="BL151" i="24"/>
  <c r="BV151" i="24"/>
  <c r="BX151" i="24" s="1"/>
  <c r="BY151" i="24" s="1"/>
  <c r="BL163" i="24"/>
  <c r="BV163" i="24"/>
  <c r="BX163" i="24" s="1"/>
  <c r="BY163" i="24" s="1"/>
  <c r="BL187" i="24"/>
  <c r="BV187" i="24"/>
  <c r="BX187" i="24" s="1"/>
  <c r="BY187" i="24" s="1"/>
  <c r="BV152" i="24"/>
  <c r="BX152" i="24" s="1"/>
  <c r="BY152" i="24" s="1"/>
  <c r="BL152" i="24"/>
  <c r="BV144" i="24"/>
  <c r="BX144" i="24" s="1"/>
  <c r="BY144" i="24" s="1"/>
  <c r="BL144" i="24"/>
  <c r="BQ203" i="24"/>
  <c r="BU203" i="24" s="1"/>
  <c r="BG203" i="24"/>
  <c r="BJ58" i="25"/>
  <c r="BQ86" i="24"/>
  <c r="BU86" i="24" s="1"/>
  <c r="BU73" i="24"/>
  <c r="BG73" i="24"/>
  <c r="BV73" i="24" s="1"/>
  <c r="BX73" i="24" s="1"/>
  <c r="BY73" i="24" s="1"/>
  <c r="BQ33" i="24"/>
  <c r="BU33" i="24" s="1"/>
  <c r="BU104" i="24"/>
  <c r="BU43" i="24"/>
  <c r="BG51" i="24"/>
  <c r="BV51" i="24" s="1"/>
  <c r="BX51" i="24" s="1"/>
  <c r="BY51" i="24" s="1"/>
  <c r="BU51" i="24"/>
  <c r="BQ97" i="24"/>
  <c r="BU97" i="24" s="1"/>
  <c r="BG43" i="24"/>
  <c r="BL43" i="24" s="1"/>
  <c r="BQ64" i="24"/>
  <c r="BV64" i="24" s="1"/>
  <c r="BX64" i="24" s="1"/>
  <c r="BY64" i="24" s="1"/>
  <c r="BQ27" i="24"/>
  <c r="BU27" i="24" s="1"/>
  <c r="BQ23" i="24"/>
  <c r="BV23" i="24" s="1"/>
  <c r="BX23" i="24" s="1"/>
  <c r="BY23" i="24" s="1"/>
  <c r="BQ49" i="24"/>
  <c r="BU49" i="24" s="1"/>
  <c r="BL69" i="24"/>
  <c r="BU81" i="24"/>
  <c r="BQ88" i="24"/>
  <c r="BU88" i="24" s="1"/>
  <c r="BV22" i="24"/>
  <c r="BX22" i="24" s="1"/>
  <c r="BY22" i="24" s="1"/>
  <c r="BG81" i="24"/>
  <c r="BL81" i="24" s="1"/>
  <c r="BQ65" i="24"/>
  <c r="BU65" i="24" s="1"/>
  <c r="BG35" i="24"/>
  <c r="BL35" i="24" s="1"/>
  <c r="BU35" i="24"/>
  <c r="BV34" i="24"/>
  <c r="BX34" i="24" s="1"/>
  <c r="BY34" i="24" s="1"/>
  <c r="AY71" i="24"/>
  <c r="AZ71" i="24" s="1"/>
  <c r="BD71" i="24"/>
  <c r="BE71" i="24"/>
  <c r="BR71" i="24" s="1"/>
  <c r="AY13" i="24"/>
  <c r="AZ13" i="24" s="1"/>
  <c r="BD13" i="24"/>
  <c r="BE13" i="24"/>
  <c r="BR13" i="24" s="1"/>
  <c r="AY15" i="24"/>
  <c r="AZ15" i="24" s="1"/>
  <c r="BE15" i="24"/>
  <c r="BR15" i="24" s="1"/>
  <c r="BD15" i="24"/>
  <c r="BU22" i="24"/>
  <c r="AY48" i="24"/>
  <c r="AZ48" i="24" s="1"/>
  <c r="BD48" i="24"/>
  <c r="BE48" i="24"/>
  <c r="BR48" i="24" s="1"/>
  <c r="AY102" i="24"/>
  <c r="AZ102" i="24" s="1"/>
  <c r="BD102" i="24"/>
  <c r="BE102" i="24"/>
  <c r="BR102" i="24" s="1"/>
  <c r="AY93" i="24"/>
  <c r="AZ93" i="24" s="1"/>
  <c r="BE93" i="24"/>
  <c r="BR93" i="24" s="1"/>
  <c r="BD93" i="24"/>
  <c r="AY37" i="24"/>
  <c r="AZ37" i="24" s="1"/>
  <c r="BD37" i="24"/>
  <c r="BE37" i="24"/>
  <c r="BR37" i="24" s="1"/>
  <c r="AY94" i="24"/>
  <c r="AZ94" i="24" s="1"/>
  <c r="BE94" i="24"/>
  <c r="BR94" i="24" s="1"/>
  <c r="BD94" i="24"/>
  <c r="AY8" i="24"/>
  <c r="AZ8" i="24" s="1"/>
  <c r="BD8" i="24"/>
  <c r="BE8" i="24"/>
  <c r="BR8" i="24" s="1"/>
  <c r="AY58" i="24"/>
  <c r="AZ58" i="24" s="1"/>
  <c r="BE58" i="24"/>
  <c r="BR58" i="24" s="1"/>
  <c r="BD58" i="24"/>
  <c r="AY90" i="24"/>
  <c r="AZ90" i="24" s="1"/>
  <c r="BD90" i="24"/>
  <c r="BE90" i="24"/>
  <c r="BR90" i="24" s="1"/>
  <c r="AY99" i="24"/>
  <c r="AZ99" i="24" s="1"/>
  <c r="BD99" i="24"/>
  <c r="BE99" i="24"/>
  <c r="BR99" i="24" s="1"/>
  <c r="AY45" i="24"/>
  <c r="AZ45" i="24" s="1"/>
  <c r="BD45" i="24"/>
  <c r="BE45" i="24"/>
  <c r="BR45" i="24" s="1"/>
  <c r="AY38" i="24"/>
  <c r="AZ38" i="24" s="1"/>
  <c r="BD38" i="24"/>
  <c r="BE38" i="24"/>
  <c r="BR38" i="24" s="1"/>
  <c r="AY77" i="24"/>
  <c r="AZ77" i="24" s="1"/>
  <c r="BE77" i="24"/>
  <c r="BR77" i="24" s="1"/>
  <c r="BD77" i="24"/>
  <c r="AY98" i="24"/>
  <c r="AZ98" i="24" s="1"/>
  <c r="BD98" i="24"/>
  <c r="BE98" i="24"/>
  <c r="BR98" i="24" s="1"/>
  <c r="AY62" i="24"/>
  <c r="AZ62" i="24" s="1"/>
  <c r="BD62" i="24"/>
  <c r="BE62" i="24"/>
  <c r="BR62" i="24" s="1"/>
  <c r="AY47" i="24"/>
  <c r="AZ47" i="24" s="1"/>
  <c r="BE47" i="24"/>
  <c r="BR47" i="24" s="1"/>
  <c r="BD47" i="24"/>
  <c r="AY52" i="24"/>
  <c r="AZ52" i="24" s="1"/>
  <c r="BD52" i="24"/>
  <c r="BE52" i="24"/>
  <c r="BR52" i="24" s="1"/>
  <c r="AY75" i="24"/>
  <c r="AZ75" i="24" s="1"/>
  <c r="BE75" i="24"/>
  <c r="BR75" i="24" s="1"/>
  <c r="BD75" i="24"/>
  <c r="AY103" i="24"/>
  <c r="AZ103" i="24" s="1"/>
  <c r="BE103" i="24"/>
  <c r="BR103" i="24" s="1"/>
  <c r="BD103" i="24"/>
  <c r="AY24" i="24"/>
  <c r="AZ24" i="24" s="1"/>
  <c r="BD24" i="24"/>
  <c r="BE24" i="24"/>
  <c r="BR24" i="24" s="1"/>
  <c r="AY44" i="24"/>
  <c r="AZ44" i="24" s="1"/>
  <c r="BE44" i="24"/>
  <c r="BR44" i="24" s="1"/>
  <c r="BD44" i="24"/>
  <c r="AY67" i="24"/>
  <c r="AZ67" i="24" s="1"/>
  <c r="BE67" i="24"/>
  <c r="BR67" i="24" s="1"/>
  <c r="BD67" i="24"/>
  <c r="AY76" i="24"/>
  <c r="AZ76" i="24" s="1"/>
  <c r="BE76" i="24"/>
  <c r="BR76" i="24" s="1"/>
  <c r="BD76" i="24"/>
  <c r="AY57" i="24"/>
  <c r="AZ57" i="24" s="1"/>
  <c r="BE57" i="24"/>
  <c r="BR57" i="24" s="1"/>
  <c r="BD57" i="24"/>
  <c r="AY84" i="24"/>
  <c r="AZ84" i="24" s="1"/>
  <c r="BD84" i="24"/>
  <c r="BE84" i="24"/>
  <c r="BR84" i="24" s="1"/>
  <c r="AY39" i="24"/>
  <c r="AZ39" i="24" s="1"/>
  <c r="BE39" i="24"/>
  <c r="BR39" i="24" s="1"/>
  <c r="BD39" i="24"/>
  <c r="AY61" i="24"/>
  <c r="AZ61" i="24" s="1"/>
  <c r="BE61" i="24"/>
  <c r="BR61" i="24" s="1"/>
  <c r="BD61" i="24"/>
  <c r="AY16" i="24"/>
  <c r="AZ16" i="24" s="1"/>
  <c r="BE16" i="24"/>
  <c r="BR16" i="24" s="1"/>
  <c r="BD16" i="24"/>
  <c r="AY12" i="24"/>
  <c r="AZ12" i="24" s="1"/>
  <c r="BE12" i="24"/>
  <c r="BR12" i="24" s="1"/>
  <c r="BD12" i="24"/>
  <c r="AY11" i="24"/>
  <c r="AZ11" i="24" s="1"/>
  <c r="BE11" i="24"/>
  <c r="BR11" i="24" s="1"/>
  <c r="BD11" i="24"/>
  <c r="AY17" i="24"/>
  <c r="AZ17" i="24" s="1"/>
  <c r="BD17" i="24"/>
  <c r="BE17" i="24"/>
  <c r="BR17" i="24" s="1"/>
  <c r="AY9" i="24"/>
  <c r="AZ9" i="24" s="1"/>
  <c r="BD9" i="24"/>
  <c r="BE9" i="24"/>
  <c r="BR9" i="24" s="1"/>
  <c r="AY26" i="24"/>
  <c r="AZ26" i="24" s="1"/>
  <c r="BD26" i="24"/>
  <c r="BE26" i="24"/>
  <c r="BR26" i="24" s="1"/>
  <c r="AY20" i="24"/>
  <c r="AZ20" i="24" s="1"/>
  <c r="BE20" i="24"/>
  <c r="BR20" i="24" s="1"/>
  <c r="BD20" i="24"/>
  <c r="AY30" i="24"/>
  <c r="AZ30" i="24" s="1"/>
  <c r="BE30" i="24"/>
  <c r="BR30" i="24" s="1"/>
  <c r="BD30" i="24"/>
  <c r="AY66" i="24"/>
  <c r="AZ66" i="24" s="1"/>
  <c r="BE66" i="24"/>
  <c r="BR66" i="24" s="1"/>
  <c r="BD66" i="24"/>
  <c r="AY80" i="24"/>
  <c r="AZ80" i="24" s="1"/>
  <c r="BD80" i="24"/>
  <c r="BE80" i="24"/>
  <c r="BR80" i="24" s="1"/>
  <c r="AY7" i="24"/>
  <c r="AZ7" i="24" s="1"/>
  <c r="BD7" i="24"/>
  <c r="BE7" i="24"/>
  <c r="BR7" i="24" s="1"/>
  <c r="AY6" i="24"/>
  <c r="AZ6" i="24" s="1"/>
  <c r="BE6" i="24"/>
  <c r="BR6" i="24" s="1"/>
  <c r="BD6" i="24"/>
  <c r="BV40" i="24"/>
  <c r="BX40" i="24" s="1"/>
  <c r="BY40" i="24" s="1"/>
  <c r="BQ5" i="25"/>
  <c r="BP5" i="25"/>
  <c r="BE5" i="25"/>
  <c r="BV33" i="25"/>
  <c r="BX33" i="25" s="1"/>
  <c r="BY33" i="25" s="1"/>
  <c r="BU20" i="25"/>
  <c r="BU52" i="25"/>
  <c r="BU86" i="25"/>
  <c r="BV55" i="25"/>
  <c r="BX55" i="25" s="1"/>
  <c r="BY55" i="25" s="1"/>
  <c r="BU90" i="25"/>
  <c r="BV18" i="25"/>
  <c r="BX18" i="25" s="1"/>
  <c r="BY18" i="25" s="1"/>
  <c r="BU98" i="25"/>
  <c r="BU40" i="25"/>
  <c r="BU103" i="25"/>
  <c r="BU78" i="25"/>
  <c r="BU76" i="25"/>
  <c r="BU41" i="25"/>
  <c r="BU17" i="25"/>
  <c r="BU27" i="25"/>
  <c r="BU54" i="25"/>
  <c r="BU15" i="25"/>
  <c r="BU55" i="25"/>
  <c r="BV90" i="25"/>
  <c r="BX90" i="25" s="1"/>
  <c r="BY90" i="25" s="1"/>
  <c r="BU33" i="25"/>
  <c r="BU18" i="25"/>
  <c r="BU19" i="25"/>
  <c r="BU63" i="25"/>
  <c r="BU95" i="25"/>
  <c r="BU65" i="25"/>
  <c r="BV60" i="25"/>
  <c r="BX60" i="25" s="1"/>
  <c r="BY60" i="25" s="1"/>
  <c r="BU34" i="25"/>
  <c r="BV98" i="25"/>
  <c r="BX98" i="25" s="1"/>
  <c r="BU36" i="25"/>
  <c r="BU85" i="25"/>
  <c r="BU99" i="25"/>
  <c r="BU43" i="25"/>
  <c r="BU49" i="25"/>
  <c r="BU47" i="25"/>
  <c r="BV85" i="25"/>
  <c r="BX85" i="25" s="1"/>
  <c r="BY85" i="25" s="1"/>
  <c r="BU39" i="25"/>
  <c r="BU102" i="25"/>
  <c r="BU26" i="25"/>
  <c r="BU83" i="25"/>
  <c r="BU75" i="25"/>
  <c r="BU61" i="25"/>
  <c r="BU13" i="25"/>
  <c r="BU89" i="25"/>
  <c r="BU8" i="25"/>
  <c r="BU24" i="25"/>
  <c r="BU104" i="25"/>
  <c r="BU67" i="25"/>
  <c r="BU94" i="25"/>
  <c r="BU71" i="25"/>
  <c r="BU6" i="25"/>
  <c r="BU45" i="25"/>
  <c r="BU66" i="25"/>
  <c r="BU57" i="25"/>
  <c r="BU73" i="25"/>
  <c r="BU32" i="25"/>
  <c r="BV95" i="25"/>
  <c r="BX95" i="25" s="1"/>
  <c r="BY95" i="25" s="1"/>
  <c r="BU9" i="25"/>
  <c r="BU60" i="25"/>
  <c r="BU105" i="25"/>
  <c r="BU77" i="25"/>
  <c r="BU35" i="25"/>
  <c r="BU97" i="25"/>
  <c r="BU81" i="25"/>
  <c r="BU59" i="25"/>
  <c r="BU64" i="25"/>
  <c r="BU21" i="25"/>
  <c r="BU87" i="25"/>
  <c r="BU50" i="25"/>
  <c r="BU101" i="25"/>
  <c r="BU31" i="25"/>
  <c r="BU12" i="25"/>
  <c r="BU53" i="25"/>
  <c r="BU51" i="25"/>
  <c r="BU37" i="25"/>
  <c r="BU14" i="25"/>
  <c r="BU10" i="25"/>
  <c r="BV32" i="25"/>
  <c r="BX32" i="25" s="1"/>
  <c r="BY32" i="25" s="1"/>
  <c r="BU29" i="25"/>
  <c r="BU11" i="25"/>
  <c r="BU72" i="25"/>
  <c r="BU44" i="25"/>
  <c r="BU16" i="25"/>
  <c r="BU88" i="25"/>
  <c r="BU100" i="25"/>
  <c r="BU93" i="25"/>
  <c r="BU42" i="25"/>
  <c r="BU62" i="25"/>
  <c r="BU28" i="25"/>
  <c r="BU68" i="25"/>
  <c r="BU25" i="25"/>
  <c r="BU80" i="25"/>
  <c r="BU69" i="25"/>
  <c r="BU74" i="25"/>
  <c r="BU46" i="25"/>
  <c r="BU96" i="25"/>
  <c r="BU38" i="25"/>
  <c r="BU91" i="25"/>
  <c r="BU92" i="25"/>
  <c r="BV65" i="25"/>
  <c r="BX65" i="25" s="1"/>
  <c r="BY65" i="25" s="1"/>
  <c r="BU23" i="25"/>
  <c r="BU84" i="25"/>
  <c r="BU22" i="25"/>
  <c r="BU79" i="25"/>
  <c r="BU30" i="25"/>
  <c r="BU7" i="25"/>
  <c r="BU82" i="25"/>
  <c r="BU70" i="25"/>
  <c r="BU56" i="25"/>
  <c r="BU48" i="25"/>
  <c r="BV43" i="25"/>
  <c r="BX43" i="25" s="1"/>
  <c r="BY43" i="25" s="1"/>
  <c r="BV57" i="25"/>
  <c r="BX57" i="25" s="1"/>
  <c r="BY57" i="25" s="1"/>
  <c r="BV73" i="25"/>
  <c r="BX73" i="25" s="1"/>
  <c r="BY73" i="25" s="1"/>
  <c r="BV66" i="25"/>
  <c r="BX66" i="25" s="1"/>
  <c r="BY66" i="25" s="1"/>
  <c r="BV84" i="25"/>
  <c r="BX84" i="25" s="1"/>
  <c r="BV99" i="25"/>
  <c r="BX99" i="25" s="1"/>
  <c r="BY99" i="25" s="1"/>
  <c r="BJ32" i="25"/>
  <c r="BV50" i="25"/>
  <c r="BX50" i="25" s="1"/>
  <c r="BY50" i="25" s="1"/>
  <c r="BJ50" i="25"/>
  <c r="BV31" i="25"/>
  <c r="BX31" i="25" s="1"/>
  <c r="BY31" i="25" s="1"/>
  <c r="BJ31" i="25"/>
  <c r="BV41" i="25"/>
  <c r="BX41" i="25" s="1"/>
  <c r="BY41" i="25" s="1"/>
  <c r="BJ41" i="25"/>
  <c r="BV17" i="25"/>
  <c r="BX17" i="25" s="1"/>
  <c r="BY17" i="25" s="1"/>
  <c r="BJ17" i="25"/>
  <c r="BV40" i="25"/>
  <c r="BX40" i="25" s="1"/>
  <c r="BY40" i="25" s="1"/>
  <c r="BJ40" i="25"/>
  <c r="BV78" i="25"/>
  <c r="BX78" i="25" s="1"/>
  <c r="BY78" i="25" s="1"/>
  <c r="BJ78" i="25"/>
  <c r="BV14" i="25"/>
  <c r="BX14" i="25" s="1"/>
  <c r="BY14" i="25" s="1"/>
  <c r="BJ14" i="25"/>
  <c r="BV82" i="25"/>
  <c r="BX82" i="25" s="1"/>
  <c r="BY82" i="25" s="1"/>
  <c r="BJ82" i="25"/>
  <c r="BV56" i="25"/>
  <c r="BX56" i="25" s="1"/>
  <c r="BY56" i="25" s="1"/>
  <c r="BJ56" i="25"/>
  <c r="BV26" i="25"/>
  <c r="BX26" i="25" s="1"/>
  <c r="BY26" i="25" s="1"/>
  <c r="BJ26" i="25"/>
  <c r="BV80" i="25"/>
  <c r="BX80" i="25" s="1"/>
  <c r="BY80" i="25" s="1"/>
  <c r="BJ80" i="25"/>
  <c r="BV20" i="25"/>
  <c r="BX20" i="25" s="1"/>
  <c r="BY20" i="25" s="1"/>
  <c r="BJ20" i="25"/>
  <c r="BV81" i="25"/>
  <c r="BX81" i="25" s="1"/>
  <c r="BY81" i="25" s="1"/>
  <c r="BJ81" i="25"/>
  <c r="BJ8" i="25"/>
  <c r="BV8" i="25"/>
  <c r="BX8" i="25" s="1"/>
  <c r="BY8" i="25" s="1"/>
  <c r="BJ104" i="25"/>
  <c r="BV104" i="25"/>
  <c r="BX104" i="25" s="1"/>
  <c r="BY104" i="25" s="1"/>
  <c r="BV64" i="25"/>
  <c r="BX64" i="25" s="1"/>
  <c r="BY64" i="25" s="1"/>
  <c r="BJ64" i="25"/>
  <c r="BJ94" i="25"/>
  <c r="BV94" i="25"/>
  <c r="BX94" i="25" s="1"/>
  <c r="BV21" i="25"/>
  <c r="BX21" i="25" s="1"/>
  <c r="BY21" i="25" s="1"/>
  <c r="BJ21" i="25"/>
  <c r="BV45" i="25"/>
  <c r="BX45" i="25" s="1"/>
  <c r="BY45" i="25" s="1"/>
  <c r="BJ45" i="25"/>
  <c r="BV49" i="25"/>
  <c r="BX49" i="25" s="1"/>
  <c r="BY49" i="25" s="1"/>
  <c r="BJ49" i="25"/>
  <c r="BV29" i="25"/>
  <c r="BX29" i="25" s="1"/>
  <c r="BY29" i="25" s="1"/>
  <c r="BJ29" i="25"/>
  <c r="BV22" i="25"/>
  <c r="BX22" i="25" s="1"/>
  <c r="BY22" i="25" s="1"/>
  <c r="BJ22" i="25"/>
  <c r="BV11" i="25"/>
  <c r="BX11" i="25" s="1"/>
  <c r="BY11" i="25" s="1"/>
  <c r="BJ11" i="25"/>
  <c r="BV79" i="25"/>
  <c r="BX79" i="25" s="1"/>
  <c r="BY79" i="25" s="1"/>
  <c r="BJ79" i="25"/>
  <c r="BV72" i="25"/>
  <c r="BX72" i="25" s="1"/>
  <c r="BY72" i="25" s="1"/>
  <c r="BJ72" i="25"/>
  <c r="BV44" i="25"/>
  <c r="BX44" i="25" s="1"/>
  <c r="BJ44" i="25"/>
  <c r="BV30" i="25"/>
  <c r="BX30" i="25" s="1"/>
  <c r="BY30" i="25" s="1"/>
  <c r="BJ30" i="25"/>
  <c r="BV47" i="25"/>
  <c r="BX47" i="25" s="1"/>
  <c r="BJ47" i="25"/>
  <c r="BV16" i="25"/>
  <c r="BX16" i="25" s="1"/>
  <c r="BY16" i="25" s="1"/>
  <c r="BJ16" i="25"/>
  <c r="BV39" i="25"/>
  <c r="BX39" i="25" s="1"/>
  <c r="BY39" i="25" s="1"/>
  <c r="BJ39" i="25"/>
  <c r="BV88" i="25"/>
  <c r="BX88" i="25" s="1"/>
  <c r="BY88" i="25" s="1"/>
  <c r="BJ88" i="25"/>
  <c r="BJ100" i="25"/>
  <c r="BV100" i="25"/>
  <c r="BX100" i="25" s="1"/>
  <c r="BY100" i="25" s="1"/>
  <c r="BJ93" i="25"/>
  <c r="BV93" i="25"/>
  <c r="BX93" i="25" s="1"/>
  <c r="BY93" i="25" s="1"/>
  <c r="BJ102" i="25"/>
  <c r="BV102" i="25"/>
  <c r="BX102" i="25" s="1"/>
  <c r="BV42" i="25"/>
  <c r="BX42" i="25" s="1"/>
  <c r="BY42" i="25" s="1"/>
  <c r="BJ42" i="25"/>
  <c r="BJ10" i="25"/>
  <c r="BV10" i="25"/>
  <c r="BX10" i="25" s="1"/>
  <c r="BY10" i="25" s="1"/>
  <c r="BV34" i="25"/>
  <c r="BX34" i="25" s="1"/>
  <c r="BY34" i="25" s="1"/>
  <c r="BJ34" i="25"/>
  <c r="BV71" i="25"/>
  <c r="BX71" i="25" s="1"/>
  <c r="BY71" i="25" s="1"/>
  <c r="BJ71" i="25"/>
  <c r="BV62" i="25"/>
  <c r="BX62" i="25" s="1"/>
  <c r="BY62" i="25" s="1"/>
  <c r="BJ62" i="25"/>
  <c r="BV28" i="25"/>
  <c r="BX28" i="25" s="1"/>
  <c r="BY28" i="25" s="1"/>
  <c r="BJ28" i="25"/>
  <c r="BV63" i="25"/>
  <c r="BX63" i="25" s="1"/>
  <c r="BY63" i="25" s="1"/>
  <c r="BJ63" i="25"/>
  <c r="BV68" i="25"/>
  <c r="BX68" i="25" s="1"/>
  <c r="BY68" i="25" s="1"/>
  <c r="BJ68" i="25"/>
  <c r="BV25" i="25"/>
  <c r="BX25" i="25" s="1"/>
  <c r="BY25" i="25" s="1"/>
  <c r="BJ25" i="25"/>
  <c r="BV83" i="25"/>
  <c r="BX83" i="25" s="1"/>
  <c r="BY83" i="25" s="1"/>
  <c r="BJ83" i="25"/>
  <c r="BV75" i="25"/>
  <c r="BX75" i="25" s="1"/>
  <c r="BY75" i="25" s="1"/>
  <c r="BJ75" i="25"/>
  <c r="BV61" i="25"/>
  <c r="BX61" i="25" s="1"/>
  <c r="BY61" i="25" s="1"/>
  <c r="BJ61" i="25"/>
  <c r="BV35" i="25"/>
  <c r="BX35" i="25" s="1"/>
  <c r="BY35" i="25" s="1"/>
  <c r="BJ35" i="25"/>
  <c r="BJ97" i="25"/>
  <c r="BV97" i="25"/>
  <c r="BX97" i="25" s="1"/>
  <c r="BY97" i="25" s="1"/>
  <c r="BV52" i="25"/>
  <c r="BX52" i="25" s="1"/>
  <c r="BY52" i="25" s="1"/>
  <c r="BJ52" i="25"/>
  <c r="BV86" i="25"/>
  <c r="BX86" i="25" s="1"/>
  <c r="BY86" i="25" s="1"/>
  <c r="BJ86" i="25"/>
  <c r="BV54" i="25"/>
  <c r="BX54" i="25" s="1"/>
  <c r="BY54" i="25" s="1"/>
  <c r="BJ54" i="25"/>
  <c r="BV46" i="25"/>
  <c r="BX46" i="25" s="1"/>
  <c r="BJ46" i="25"/>
  <c r="BJ96" i="25"/>
  <c r="BV96" i="25"/>
  <c r="BX96" i="25" s="1"/>
  <c r="BY96" i="25" s="1"/>
  <c r="BV38" i="25"/>
  <c r="BX38" i="25" s="1"/>
  <c r="BY38" i="25" s="1"/>
  <c r="BJ38" i="25"/>
  <c r="BV15" i="25"/>
  <c r="BX15" i="25" s="1"/>
  <c r="BY15" i="25" s="1"/>
  <c r="BJ15" i="25"/>
  <c r="BV19" i="25"/>
  <c r="BX19" i="25" s="1"/>
  <c r="BY19" i="25" s="1"/>
  <c r="BJ19" i="25"/>
  <c r="BJ91" i="25"/>
  <c r="BV91" i="25"/>
  <c r="BX91" i="25" s="1"/>
  <c r="BY91" i="25" s="1"/>
  <c r="BJ92" i="25"/>
  <c r="BV92" i="25"/>
  <c r="BX92" i="25" s="1"/>
  <c r="BY92" i="25" s="1"/>
  <c r="BV36" i="25"/>
  <c r="BX36" i="25" s="1"/>
  <c r="BY36" i="25" s="1"/>
  <c r="BJ36" i="25"/>
  <c r="BV87" i="25"/>
  <c r="BX87" i="25" s="1"/>
  <c r="BY87" i="25" s="1"/>
  <c r="BJ87" i="25"/>
  <c r="BJ101" i="25"/>
  <c r="BV101" i="25"/>
  <c r="BX101" i="25" s="1"/>
  <c r="BY101" i="25" s="1"/>
  <c r="BV76" i="25"/>
  <c r="BX76" i="25" s="1"/>
  <c r="BY76" i="25" s="1"/>
  <c r="BJ76" i="25"/>
  <c r="BV12" i="25"/>
  <c r="BX12" i="25" s="1"/>
  <c r="BY12" i="25" s="1"/>
  <c r="BJ12" i="25"/>
  <c r="BV53" i="25"/>
  <c r="BX53" i="25" s="1"/>
  <c r="BY53" i="25" s="1"/>
  <c r="BJ53" i="25"/>
  <c r="BV51" i="25"/>
  <c r="BX51" i="25" s="1"/>
  <c r="BY51" i="25" s="1"/>
  <c r="BJ51" i="25"/>
  <c r="BV37" i="25"/>
  <c r="BX37" i="25" s="1"/>
  <c r="BY37" i="25" s="1"/>
  <c r="BJ37" i="25"/>
  <c r="BJ103" i="25"/>
  <c r="BV103" i="25"/>
  <c r="BX103" i="25" s="1"/>
  <c r="BV27" i="25"/>
  <c r="BX27" i="25" s="1"/>
  <c r="BY27" i="25" s="1"/>
  <c r="BJ27" i="25"/>
  <c r="BV70" i="25"/>
  <c r="BX70" i="25" s="1"/>
  <c r="BY70" i="25" s="1"/>
  <c r="BJ70" i="25"/>
  <c r="BV48" i="25"/>
  <c r="BX48" i="25" s="1"/>
  <c r="BY48" i="25" s="1"/>
  <c r="BJ48" i="25"/>
  <c r="BJ105" i="25"/>
  <c r="E45" i="1" s="1"/>
  <c r="E46" i="1" s="1"/>
  <c r="BV105" i="25"/>
  <c r="BX105" i="25" s="1"/>
  <c r="BY105" i="25" s="1"/>
  <c r="BV77" i="25"/>
  <c r="BX77" i="25" s="1"/>
  <c r="BY77" i="25" s="1"/>
  <c r="BJ77" i="25"/>
  <c r="BV69" i="25"/>
  <c r="BX69" i="25" s="1"/>
  <c r="BY69" i="25" s="1"/>
  <c r="BJ69" i="25"/>
  <c r="BV74" i="25"/>
  <c r="BX74" i="25" s="1"/>
  <c r="BJ74" i="25"/>
  <c r="BV13" i="25"/>
  <c r="BX13" i="25" s="1"/>
  <c r="BY13" i="25" s="1"/>
  <c r="BJ13" i="25"/>
  <c r="BV89" i="25"/>
  <c r="BX89" i="25" s="1"/>
  <c r="BJ89" i="25"/>
  <c r="BV24" i="25"/>
  <c r="BX24" i="25" s="1"/>
  <c r="BY24" i="25" s="1"/>
  <c r="BJ24" i="25"/>
  <c r="BV59" i="25"/>
  <c r="BX59" i="25" s="1"/>
  <c r="BY59" i="25" s="1"/>
  <c r="BJ59" i="25"/>
  <c r="BV67" i="25"/>
  <c r="BX67" i="25" s="1"/>
  <c r="BJ67" i="25"/>
  <c r="BV23" i="25"/>
  <c r="BX23" i="25" s="1"/>
  <c r="BY23" i="25" s="1"/>
  <c r="BJ23" i="25"/>
  <c r="BJ7" i="25"/>
  <c r="BV7" i="25"/>
  <c r="BX7" i="25" s="1"/>
  <c r="BY7" i="25" s="1"/>
  <c r="BJ9" i="25"/>
  <c r="BV9" i="25"/>
  <c r="BX9" i="25" s="1"/>
  <c r="BY9" i="25" s="1"/>
  <c r="BJ6" i="25"/>
  <c r="BV6" i="25"/>
  <c r="BX6" i="25" s="1"/>
  <c r="BY6" i="25" s="1"/>
  <c r="BV79" i="24"/>
  <c r="BX79" i="24" s="1"/>
  <c r="BY79" i="24" s="1"/>
  <c r="BV89" i="24"/>
  <c r="BX89" i="24" s="1"/>
  <c r="BY89" i="24" s="1"/>
  <c r="BV14" i="24"/>
  <c r="BX14" i="24" s="1"/>
  <c r="BY14" i="24" s="1"/>
  <c r="BV21" i="24"/>
  <c r="BX21" i="24" s="1"/>
  <c r="BY21" i="24" s="1"/>
  <c r="BV92" i="24"/>
  <c r="BX92" i="24" s="1"/>
  <c r="BY92" i="24" s="1"/>
  <c r="BL72" i="24"/>
  <c r="BV72" i="24"/>
  <c r="BX72" i="24" s="1"/>
  <c r="BY72" i="24" s="1"/>
  <c r="BL63" i="24"/>
  <c r="BV63" i="24"/>
  <c r="BX63" i="24" s="1"/>
  <c r="BL60" i="24"/>
  <c r="BV60" i="24"/>
  <c r="BX60" i="24" s="1"/>
  <c r="BY60" i="24" s="1"/>
  <c r="BV85" i="24"/>
  <c r="BX85" i="24" s="1"/>
  <c r="BY85" i="24" s="1"/>
  <c r="BV78" i="24"/>
  <c r="BX78" i="24" s="1"/>
  <c r="BY78" i="24" s="1"/>
  <c r="BL18" i="24"/>
  <c r="BV18" i="24"/>
  <c r="BX18" i="24" s="1"/>
  <c r="BY18" i="24" s="1"/>
  <c r="BL56" i="24"/>
  <c r="BV56" i="24"/>
  <c r="BX56" i="24" s="1"/>
  <c r="BY56" i="24" s="1"/>
  <c r="BL19" i="24"/>
  <c r="BV19" i="24"/>
  <c r="BX19" i="24" s="1"/>
  <c r="BY19" i="24" s="1"/>
  <c r="BL10" i="24"/>
  <c r="BV10" i="24"/>
  <c r="BX10" i="24" s="1"/>
  <c r="BY10" i="24" s="1"/>
  <c r="BL28" i="24"/>
  <c r="BV28" i="24"/>
  <c r="BX28" i="24" s="1"/>
  <c r="BY28" i="24" s="1"/>
  <c r="BL25" i="24"/>
  <c r="BV25" i="24"/>
  <c r="BX25" i="24" s="1"/>
  <c r="BY25" i="24" s="1"/>
  <c r="BV59" i="24"/>
  <c r="BX59" i="24" s="1"/>
  <c r="BY59" i="24" s="1"/>
  <c r="BV29" i="24"/>
  <c r="BX29" i="24" s="1"/>
  <c r="BY29" i="24" s="1"/>
  <c r="BV96" i="24"/>
  <c r="BX96" i="24" s="1"/>
  <c r="BY96" i="24" s="1"/>
  <c r="BV74" i="24"/>
  <c r="BX74" i="24" s="1"/>
  <c r="BL31" i="24"/>
  <c r="BV31" i="24"/>
  <c r="BX31" i="24" s="1"/>
  <c r="BY31" i="24" s="1"/>
  <c r="BL55" i="24"/>
  <c r="BV55" i="24"/>
  <c r="BX55" i="24" s="1"/>
  <c r="BY55" i="24" s="1"/>
  <c r="B255" i="2" s="1"/>
  <c r="BL70" i="24"/>
  <c r="BV70" i="24"/>
  <c r="BX70" i="24" s="1"/>
  <c r="BY70" i="24" s="1"/>
  <c r="BL50" i="24"/>
  <c r="BV50" i="24"/>
  <c r="BX50" i="24" s="1"/>
  <c r="BV95" i="24"/>
  <c r="BX95" i="24" s="1"/>
  <c r="BY95" i="24" s="1"/>
  <c r="BV54" i="24"/>
  <c r="BX54" i="24" s="1"/>
  <c r="BY54" i="24" s="1"/>
  <c r="BL46" i="24"/>
  <c r="BV46" i="24"/>
  <c r="BX46" i="24" s="1"/>
  <c r="BL101" i="24"/>
  <c r="BV101" i="24"/>
  <c r="BX101" i="24" s="1"/>
  <c r="BY101" i="24" s="1"/>
  <c r="BL42" i="24"/>
  <c r="BV42" i="24"/>
  <c r="BX42" i="24" s="1"/>
  <c r="BY42" i="24" s="1"/>
  <c r="BL83" i="24"/>
  <c r="BV83" i="24"/>
  <c r="BX83" i="24" s="1"/>
  <c r="BY83" i="24" s="1"/>
  <c r="BV100" i="24"/>
  <c r="BX100" i="24" s="1"/>
  <c r="BY100" i="24" s="1"/>
  <c r="BL100" i="24"/>
  <c r="BV68" i="24"/>
  <c r="BX68" i="24" s="1"/>
  <c r="BY68" i="24" s="1"/>
  <c r="BV105" i="24"/>
  <c r="BX105" i="24" s="1"/>
  <c r="BY105" i="24" s="1"/>
  <c r="BV36" i="24"/>
  <c r="BX36" i="24" s="1"/>
  <c r="BY36" i="24" s="1"/>
  <c r="BV82" i="24"/>
  <c r="BX82" i="24" s="1"/>
  <c r="BY82" i="24" s="1"/>
  <c r="BV91" i="24"/>
  <c r="BX91" i="24" s="1"/>
  <c r="BY91" i="24" s="1"/>
  <c r="BV87" i="24"/>
  <c r="BX87" i="24" s="1"/>
  <c r="BY87" i="24" s="1"/>
  <c r="BV41" i="24"/>
  <c r="BX41" i="24" s="1"/>
  <c r="BY41" i="24" s="1"/>
  <c r="F66" i="19"/>
  <c r="J9" i="8"/>
  <c r="BY169" i="25" l="1"/>
  <c r="CC169" i="25"/>
  <c r="BY201" i="24"/>
  <c r="CC201" i="24"/>
  <c r="BY149" i="25"/>
  <c r="CC149" i="25"/>
  <c r="BY84" i="25"/>
  <c r="CC84" i="25"/>
  <c r="BY170" i="24"/>
  <c r="CC170" i="24"/>
  <c r="BY180" i="24"/>
  <c r="CC180" i="24"/>
  <c r="BY155" i="25"/>
  <c r="CC155" i="25"/>
  <c r="BY198" i="24"/>
  <c r="CC198" i="24"/>
  <c r="BY46" i="25"/>
  <c r="CC46" i="25"/>
  <c r="BY133" i="25"/>
  <c r="CC133" i="25"/>
  <c r="BY46" i="24"/>
  <c r="CC46" i="24"/>
  <c r="BY94" i="25"/>
  <c r="CC94" i="25"/>
  <c r="BY173" i="24"/>
  <c r="CC173" i="24"/>
  <c r="BY153" i="25"/>
  <c r="CC153" i="25"/>
  <c r="BY184" i="25"/>
  <c r="CC184" i="25"/>
  <c r="BY167" i="25"/>
  <c r="CC167" i="25"/>
  <c r="BY176" i="25"/>
  <c r="CC176" i="25"/>
  <c r="BY179" i="25"/>
  <c r="CC179" i="25"/>
  <c r="BY89" i="25"/>
  <c r="CC89" i="25"/>
  <c r="BY204" i="24"/>
  <c r="CC204" i="24"/>
  <c r="BY98" i="25"/>
  <c r="CC98" i="25"/>
  <c r="BY177" i="25"/>
  <c r="CC177" i="25"/>
  <c r="BY203" i="25"/>
  <c r="CC203" i="25"/>
  <c r="BY166" i="25"/>
  <c r="CC166" i="25"/>
  <c r="BY179" i="24"/>
  <c r="CC179" i="24"/>
  <c r="BY74" i="25"/>
  <c r="CC74" i="25"/>
  <c r="BY146" i="25"/>
  <c r="CC146" i="25"/>
  <c r="BY154" i="24"/>
  <c r="CC154" i="24"/>
  <c r="BY74" i="24"/>
  <c r="CC74" i="24"/>
  <c r="BY164" i="25"/>
  <c r="CC164" i="25"/>
  <c r="BY190" i="24"/>
  <c r="CC190" i="24"/>
  <c r="BY170" i="25"/>
  <c r="CC170" i="25"/>
  <c r="BV167" i="24"/>
  <c r="BX167" i="24" s="1"/>
  <c r="BY167" i="24" s="1"/>
  <c r="BY139" i="24"/>
  <c r="CC139" i="24"/>
  <c r="BY50" i="24"/>
  <c r="CC50" i="24"/>
  <c r="BY44" i="25"/>
  <c r="CC44" i="25"/>
  <c r="BY135" i="25"/>
  <c r="CC135" i="25"/>
  <c r="BY47" i="25"/>
  <c r="CC47" i="25"/>
  <c r="BY67" i="25"/>
  <c r="CC67" i="25"/>
  <c r="BY160" i="24"/>
  <c r="CC160" i="24"/>
  <c r="BY144" i="25"/>
  <c r="CC144" i="25"/>
  <c r="BY174" i="25"/>
  <c r="CC174" i="25"/>
  <c r="BY103" i="25"/>
  <c r="CC103" i="25"/>
  <c r="BY207" i="24"/>
  <c r="CC207" i="24"/>
  <c r="BY206" i="25"/>
  <c r="CC206" i="25"/>
  <c r="BY173" i="25"/>
  <c r="CC173" i="25"/>
  <c r="BY102" i="25"/>
  <c r="CC102" i="25"/>
  <c r="BY63" i="24"/>
  <c r="BV115" i="24"/>
  <c r="BX115" i="24" s="1"/>
  <c r="BY115" i="24" s="1"/>
  <c r="BY150" i="24"/>
  <c r="CC150" i="24"/>
  <c r="BV110" i="25"/>
  <c r="BX110" i="25" s="1"/>
  <c r="BY110" i="25" s="1"/>
  <c r="BJ110" i="25"/>
  <c r="BV86" i="24"/>
  <c r="BX86" i="24" s="1"/>
  <c r="BY86" i="24" s="1"/>
  <c r="BV97" i="24"/>
  <c r="BX97" i="24" s="1"/>
  <c r="BY97" i="24" s="1"/>
  <c r="BL119" i="24"/>
  <c r="BV119" i="24"/>
  <c r="BX119" i="24" s="1"/>
  <c r="BY119" i="24" s="1"/>
  <c r="BV168" i="24"/>
  <c r="BX168" i="24" s="1"/>
  <c r="BL168" i="24"/>
  <c r="BV156" i="24"/>
  <c r="BX156" i="24" s="1"/>
  <c r="BY156" i="24" s="1"/>
  <c r="BL156" i="24"/>
  <c r="BL195" i="24"/>
  <c r="BV195" i="24"/>
  <c r="BX195" i="24" s="1"/>
  <c r="BY195" i="24" s="1"/>
  <c r="BL155" i="24"/>
  <c r="BV155" i="24"/>
  <c r="BX155" i="24" s="1"/>
  <c r="BY155" i="24" s="1"/>
  <c r="BV181" i="24"/>
  <c r="BX181" i="24" s="1"/>
  <c r="BY181" i="24" s="1"/>
  <c r="BU181" i="24"/>
  <c r="BV176" i="24"/>
  <c r="BX176" i="24" s="1"/>
  <c r="BY176" i="24" s="1"/>
  <c r="BL176" i="24"/>
  <c r="BV206" i="24"/>
  <c r="BX206" i="24" s="1"/>
  <c r="BY206" i="24" s="1"/>
  <c r="BL206" i="24"/>
  <c r="BV210" i="24"/>
  <c r="BX210" i="24" s="1"/>
  <c r="BY210" i="24" s="1"/>
  <c r="BL210" i="24"/>
  <c r="BV130" i="24"/>
  <c r="BX130" i="24" s="1"/>
  <c r="BY130" i="24" s="1"/>
  <c r="BL130" i="24"/>
  <c r="BV192" i="24"/>
  <c r="BX192" i="24" s="1"/>
  <c r="BY192" i="24" s="1"/>
  <c r="BL192" i="24"/>
  <c r="BV189" i="24"/>
  <c r="BX189" i="24" s="1"/>
  <c r="BY189" i="24" s="1"/>
  <c r="BU189" i="24"/>
  <c r="BV194" i="24"/>
  <c r="BX194" i="24" s="1"/>
  <c r="BL194" i="24"/>
  <c r="BV136" i="24"/>
  <c r="BX136" i="24" s="1"/>
  <c r="BL136" i="24"/>
  <c r="BL159" i="24"/>
  <c r="BV159" i="24"/>
  <c r="BX159" i="24" s="1"/>
  <c r="BY159" i="24" s="1"/>
  <c r="BL203" i="24"/>
  <c r="BV203" i="24"/>
  <c r="BX203" i="24" s="1"/>
  <c r="BY203" i="24" s="1"/>
  <c r="BV141" i="24"/>
  <c r="BX141" i="24" s="1"/>
  <c r="BY141" i="24" s="1"/>
  <c r="BL141" i="24"/>
  <c r="BV188" i="24"/>
  <c r="BX188" i="24" s="1"/>
  <c r="BY188" i="24" s="1"/>
  <c r="BL188" i="24"/>
  <c r="BV193" i="24"/>
  <c r="BX193" i="24" s="1"/>
  <c r="BY193" i="24" s="1"/>
  <c r="BL193" i="24"/>
  <c r="BV149" i="24"/>
  <c r="BX149" i="24" s="1"/>
  <c r="BY149" i="24" s="1"/>
  <c r="BL149" i="24"/>
  <c r="BV169" i="24"/>
  <c r="BX169" i="24" s="1"/>
  <c r="BY169" i="24" s="1"/>
  <c r="BL169" i="24"/>
  <c r="BV161" i="24"/>
  <c r="BX161" i="24" s="1"/>
  <c r="BY161" i="24" s="1"/>
  <c r="BL161" i="24"/>
  <c r="BL123" i="24"/>
  <c r="BV123" i="24"/>
  <c r="BX123" i="24" s="1"/>
  <c r="BY123" i="24" s="1"/>
  <c r="BV110" i="24"/>
  <c r="BX110" i="24" s="1"/>
  <c r="BY110" i="24" s="1"/>
  <c r="BL110" i="24"/>
  <c r="BV112" i="24"/>
  <c r="BX112" i="24" s="1"/>
  <c r="BY112" i="24" s="1"/>
  <c r="BL112" i="24"/>
  <c r="BV172" i="24"/>
  <c r="BX172" i="24" s="1"/>
  <c r="BY172" i="24" s="1"/>
  <c r="BL172" i="24"/>
  <c r="BL191" i="24"/>
  <c r="BV191" i="24"/>
  <c r="BX191" i="24" s="1"/>
  <c r="BY191" i="24" s="1"/>
  <c r="BV134" i="24"/>
  <c r="BX134" i="24" s="1"/>
  <c r="BY134" i="24" s="1"/>
  <c r="BL134" i="24"/>
  <c r="BV209" i="24"/>
  <c r="BX209" i="24" s="1"/>
  <c r="BL209" i="24"/>
  <c r="BV182" i="24"/>
  <c r="BX182" i="24" s="1"/>
  <c r="BY182" i="24" s="1"/>
  <c r="BU182" i="24"/>
  <c r="BV114" i="24"/>
  <c r="BX114" i="24" s="1"/>
  <c r="BY114" i="24" s="1"/>
  <c r="BL114" i="24"/>
  <c r="BL199" i="24"/>
  <c r="BV199" i="24"/>
  <c r="BX199" i="24" s="1"/>
  <c r="BV208" i="24"/>
  <c r="BX208" i="24" s="1"/>
  <c r="BY208" i="24" s="1"/>
  <c r="BL208" i="24"/>
  <c r="BL73" i="24"/>
  <c r="BL51" i="24"/>
  <c r="BV33" i="24"/>
  <c r="BX33" i="24" s="1"/>
  <c r="BY33" i="24" s="1"/>
  <c r="BV43" i="24"/>
  <c r="BX43" i="24" s="1"/>
  <c r="BY43" i="24" s="1"/>
  <c r="BV49" i="24"/>
  <c r="BX49" i="24" s="1"/>
  <c r="BY49" i="24" s="1"/>
  <c r="BU23" i="24"/>
  <c r="BV27" i="24"/>
  <c r="BX27" i="24" s="1"/>
  <c r="BY27" i="24" s="1"/>
  <c r="BU64" i="24"/>
  <c r="BV88" i="24"/>
  <c r="BX88" i="24" s="1"/>
  <c r="BY88" i="24" s="1"/>
  <c r="BV81" i="24"/>
  <c r="BX81" i="24" s="1"/>
  <c r="BY81" i="24" s="1"/>
  <c r="BV65" i="24"/>
  <c r="BX65" i="24" s="1"/>
  <c r="BY65" i="24" s="1"/>
  <c r="BV35" i="24"/>
  <c r="BX35" i="24" s="1"/>
  <c r="BY35" i="24" s="1"/>
  <c r="BG71" i="24"/>
  <c r="BQ71" i="24"/>
  <c r="BU71" i="24" s="1"/>
  <c r="BG13" i="24"/>
  <c r="BQ13" i="24"/>
  <c r="BU13" i="24" s="1"/>
  <c r="BG15" i="24"/>
  <c r="BQ15" i="24"/>
  <c r="BU15" i="24" s="1"/>
  <c r="BG102" i="24"/>
  <c r="BQ102" i="24"/>
  <c r="BU102" i="24" s="1"/>
  <c r="BG48" i="24"/>
  <c r="BQ48" i="24"/>
  <c r="BU48" i="24" s="1"/>
  <c r="BG93" i="24"/>
  <c r="BQ93" i="24"/>
  <c r="BU93" i="24" s="1"/>
  <c r="BQ37" i="24"/>
  <c r="BU37" i="24" s="1"/>
  <c r="BG37" i="24"/>
  <c r="BG8" i="24"/>
  <c r="BQ8" i="24"/>
  <c r="BU8" i="24" s="1"/>
  <c r="BG94" i="24"/>
  <c r="BQ94" i="24"/>
  <c r="BU94" i="24" s="1"/>
  <c r="BG16" i="24"/>
  <c r="BQ16" i="24"/>
  <c r="BU16" i="24" s="1"/>
  <c r="BG45" i="24"/>
  <c r="BQ45" i="24"/>
  <c r="BU45" i="24" s="1"/>
  <c r="BG30" i="24"/>
  <c r="BQ30" i="24"/>
  <c r="BU30" i="24" s="1"/>
  <c r="BG61" i="24"/>
  <c r="BQ61" i="24"/>
  <c r="BU61" i="24" s="1"/>
  <c r="BG76" i="24"/>
  <c r="BQ76" i="24"/>
  <c r="BU76" i="24" s="1"/>
  <c r="BG103" i="24"/>
  <c r="BQ103" i="24"/>
  <c r="BU103" i="24" s="1"/>
  <c r="BQ98" i="24"/>
  <c r="BU98" i="24" s="1"/>
  <c r="BG98" i="24"/>
  <c r="BG99" i="24"/>
  <c r="BQ99" i="24"/>
  <c r="BU99" i="24" s="1"/>
  <c r="BG17" i="24"/>
  <c r="BQ17" i="24"/>
  <c r="BU17" i="24" s="1"/>
  <c r="BG47" i="24"/>
  <c r="BQ47" i="24"/>
  <c r="BU47" i="24" s="1"/>
  <c r="BG9" i="24"/>
  <c r="BQ9" i="24"/>
  <c r="BU9" i="24" s="1"/>
  <c r="BG12" i="24"/>
  <c r="BQ12" i="24"/>
  <c r="BU12" i="24" s="1"/>
  <c r="BQ44" i="24"/>
  <c r="BU44" i="24" s="1"/>
  <c r="BG44" i="24"/>
  <c r="BG24" i="24"/>
  <c r="BQ24" i="24"/>
  <c r="BU24" i="24" s="1"/>
  <c r="BG77" i="24"/>
  <c r="BQ77" i="24"/>
  <c r="BU77" i="24" s="1"/>
  <c r="BQ38" i="24"/>
  <c r="BU38" i="24" s="1"/>
  <c r="BG38" i="24"/>
  <c r="BQ66" i="24"/>
  <c r="BU66" i="24" s="1"/>
  <c r="BG66" i="24"/>
  <c r="BG57" i="24"/>
  <c r="BQ57" i="24"/>
  <c r="BU57" i="24" s="1"/>
  <c r="BG62" i="24"/>
  <c r="BQ62" i="24"/>
  <c r="BU62" i="24" s="1"/>
  <c r="BQ58" i="24"/>
  <c r="BU58" i="24" s="1"/>
  <c r="BG58" i="24"/>
  <c r="BG80" i="24"/>
  <c r="BQ80" i="24"/>
  <c r="BU80" i="24" s="1"/>
  <c r="BQ20" i="24"/>
  <c r="BU20" i="24" s="1"/>
  <c r="BG20" i="24"/>
  <c r="BG26" i="24"/>
  <c r="BQ26" i="24"/>
  <c r="BU26" i="24" s="1"/>
  <c r="BG11" i="24"/>
  <c r="BQ11" i="24"/>
  <c r="BU11" i="24" s="1"/>
  <c r="BG39" i="24"/>
  <c r="BQ39" i="24"/>
  <c r="BU39" i="24" s="1"/>
  <c r="BG84" i="24"/>
  <c r="BQ84" i="24"/>
  <c r="BU84" i="24" s="1"/>
  <c r="BG67" i="24"/>
  <c r="BQ67" i="24"/>
  <c r="BU67" i="24" s="1"/>
  <c r="BG75" i="24"/>
  <c r="BQ75" i="24"/>
  <c r="BU75" i="24" s="1"/>
  <c r="BG52" i="24"/>
  <c r="BQ52" i="24"/>
  <c r="BU52" i="24" s="1"/>
  <c r="BQ90" i="24"/>
  <c r="BU90" i="24" s="1"/>
  <c r="BG90" i="24"/>
  <c r="BG6" i="24"/>
  <c r="BQ6" i="24"/>
  <c r="BU6" i="24" s="1"/>
  <c r="BG7" i="24"/>
  <c r="BQ7" i="24"/>
  <c r="BU7" i="24" s="1"/>
  <c r="B167" i="2"/>
  <c r="C44" i="16" s="1"/>
  <c r="B254" i="2"/>
  <c r="BJ5" i="25"/>
  <c r="BV5" i="25"/>
  <c r="BX5" i="25" s="1"/>
  <c r="BY5" i="25" s="1"/>
  <c r="BU5" i="25"/>
  <c r="BY136" i="24" l="1"/>
  <c r="CC136" i="24"/>
  <c r="BY194" i="24"/>
  <c r="CC194" i="24"/>
  <c r="BY209" i="24"/>
  <c r="CC209" i="24"/>
  <c r="BY199" i="24"/>
  <c r="CC199" i="24"/>
  <c r="CC211" i="25"/>
  <c r="BY168" i="24"/>
  <c r="CC168" i="24"/>
  <c r="BL71" i="24"/>
  <c r="BV71" i="24"/>
  <c r="BX71" i="24" s="1"/>
  <c r="BY71" i="24" s="1"/>
  <c r="BL13" i="24"/>
  <c r="BV13" i="24"/>
  <c r="BX13" i="24" s="1"/>
  <c r="BY13" i="24" s="1"/>
  <c r="BL15" i="24"/>
  <c r="BV15" i="24"/>
  <c r="BX15" i="24" s="1"/>
  <c r="BY15" i="24" s="1"/>
  <c r="B256" i="2" s="1"/>
  <c r="BL48" i="24"/>
  <c r="BV48" i="24"/>
  <c r="BX48" i="24" s="1"/>
  <c r="BY48" i="24" s="1"/>
  <c r="BL102" i="24"/>
  <c r="BV102" i="24"/>
  <c r="BX102" i="24" s="1"/>
  <c r="BL93" i="24"/>
  <c r="BV93" i="24"/>
  <c r="BX93" i="24" s="1"/>
  <c r="BY93" i="24" s="1"/>
  <c r="BV37" i="24"/>
  <c r="BX37" i="24" s="1"/>
  <c r="BY37" i="24" s="1"/>
  <c r="BL37" i="24"/>
  <c r="BL8" i="24"/>
  <c r="BV8" i="24"/>
  <c r="BX8" i="24" s="1"/>
  <c r="BY8" i="24" s="1"/>
  <c r="BL94" i="24"/>
  <c r="BV94" i="24"/>
  <c r="BX94" i="24" s="1"/>
  <c r="BL20" i="24"/>
  <c r="BV20" i="24"/>
  <c r="BX20" i="24" s="1"/>
  <c r="BY20" i="24" s="1"/>
  <c r="BV58" i="24"/>
  <c r="BX58" i="24" s="1"/>
  <c r="BY58" i="24" s="1"/>
  <c r="BL58" i="24"/>
  <c r="BV38" i="24"/>
  <c r="BX38" i="24" s="1"/>
  <c r="BY38" i="24" s="1"/>
  <c r="BL38" i="24"/>
  <c r="BL84" i="24"/>
  <c r="BV84" i="24"/>
  <c r="BX84" i="24" s="1"/>
  <c r="BL24" i="24"/>
  <c r="BV24" i="24"/>
  <c r="BX24" i="24" s="1"/>
  <c r="BY24" i="24" s="1"/>
  <c r="BL103" i="24"/>
  <c r="BV103" i="24"/>
  <c r="BX103" i="24" s="1"/>
  <c r="BY103" i="24" s="1"/>
  <c r="BV98" i="24"/>
  <c r="BX98" i="24" s="1"/>
  <c r="BY98" i="24" s="1"/>
  <c r="BL98" i="24"/>
  <c r="BL75" i="24"/>
  <c r="BV75" i="24"/>
  <c r="BX75" i="24" s="1"/>
  <c r="BY75" i="24" s="1"/>
  <c r="BL11" i="24"/>
  <c r="BV11" i="24"/>
  <c r="BX11" i="24" s="1"/>
  <c r="BY11" i="24" s="1"/>
  <c r="BL57" i="24"/>
  <c r="BV57" i="24"/>
  <c r="BX57" i="24" s="1"/>
  <c r="BY57" i="24" s="1"/>
  <c r="BL12" i="24"/>
  <c r="BV12" i="24"/>
  <c r="BX12" i="24" s="1"/>
  <c r="BY12" i="24" s="1"/>
  <c r="BL47" i="24"/>
  <c r="BV47" i="24"/>
  <c r="BX47" i="24" s="1"/>
  <c r="BY47" i="24" s="1"/>
  <c r="BL99" i="24"/>
  <c r="BV99" i="24"/>
  <c r="BX99" i="24" s="1"/>
  <c r="BY99" i="24" s="1"/>
  <c r="BL61" i="24"/>
  <c r="BV61" i="24"/>
  <c r="BX61" i="24" s="1"/>
  <c r="BY61" i="24" s="1"/>
  <c r="BL45" i="24"/>
  <c r="BV45" i="24"/>
  <c r="BX45" i="24" s="1"/>
  <c r="BV66" i="24"/>
  <c r="BX66" i="24" s="1"/>
  <c r="BY66" i="24" s="1"/>
  <c r="BL66" i="24"/>
  <c r="BV44" i="24"/>
  <c r="BX44" i="24" s="1"/>
  <c r="BY44" i="24" s="1"/>
  <c r="BL44" i="24"/>
  <c r="BV90" i="24"/>
  <c r="BX90" i="24" s="1"/>
  <c r="BY90" i="24" s="1"/>
  <c r="BL90" i="24"/>
  <c r="BL52" i="24"/>
  <c r="BV52" i="24"/>
  <c r="BX52" i="24" s="1"/>
  <c r="BY52" i="24" s="1"/>
  <c r="BL67" i="24"/>
  <c r="BV67" i="24"/>
  <c r="BX67" i="24" s="1"/>
  <c r="BL39" i="24"/>
  <c r="BV39" i="24"/>
  <c r="BX39" i="24" s="1"/>
  <c r="BY39" i="24" s="1"/>
  <c r="BL26" i="24"/>
  <c r="BV26" i="24"/>
  <c r="BX26" i="24" s="1"/>
  <c r="BY26" i="24" s="1"/>
  <c r="BL80" i="24"/>
  <c r="BV80" i="24"/>
  <c r="BX80" i="24" s="1"/>
  <c r="BY80" i="24" s="1"/>
  <c r="BL62" i="24"/>
  <c r="BV62" i="24"/>
  <c r="BX62" i="24" s="1"/>
  <c r="BY62" i="24" s="1"/>
  <c r="BL77" i="24"/>
  <c r="BV77" i="24"/>
  <c r="BX77" i="24" s="1"/>
  <c r="BY77" i="24" s="1"/>
  <c r="BL9" i="24"/>
  <c r="BV9" i="24"/>
  <c r="BX9" i="24" s="1"/>
  <c r="BY9" i="24" s="1"/>
  <c r="BL17" i="24"/>
  <c r="BV17" i="24"/>
  <c r="BX17" i="24" s="1"/>
  <c r="BY17" i="24" s="1"/>
  <c r="BL76" i="24"/>
  <c r="BV76" i="24"/>
  <c r="BX76" i="24" s="1"/>
  <c r="BY76" i="24" s="1"/>
  <c r="BL30" i="24"/>
  <c r="BV30" i="24"/>
  <c r="BX30" i="24" s="1"/>
  <c r="BY30" i="24" s="1"/>
  <c r="BL16" i="24"/>
  <c r="BV16" i="24"/>
  <c r="BX16" i="24" s="1"/>
  <c r="BY16" i="24" s="1"/>
  <c r="BL7" i="24"/>
  <c r="BV7" i="24"/>
  <c r="BX7" i="24" s="1"/>
  <c r="BY7" i="24" s="1"/>
  <c r="BL6" i="24"/>
  <c r="BV6" i="24"/>
  <c r="BX6" i="24" s="1"/>
  <c r="BY6" i="24" s="1"/>
  <c r="B233" i="2"/>
  <c r="D44" i="16" s="1"/>
  <c r="E33" i="1"/>
  <c r="A233" i="2"/>
  <c r="BY84" i="24" l="1"/>
  <c r="CC84" i="24"/>
  <c r="BY102" i="24"/>
  <c r="CC102" i="24"/>
  <c r="BY94" i="24"/>
  <c r="CC94" i="24"/>
  <c r="CD211" i="24"/>
  <c r="L15" i="1" s="1"/>
  <c r="BY67" i="24"/>
  <c r="CC67" i="24"/>
  <c r="BY45" i="24"/>
</calcChain>
</file>

<file path=xl/comments1.xml><?xml version="1.0" encoding="utf-8"?>
<comments xmlns="http://schemas.openxmlformats.org/spreadsheetml/2006/main">
  <authors>
    <author>Timothy Hegarty</author>
    <author>Hegarty, Timothy</author>
  </authors>
  <commentList>
    <comment ref="A3" authorId="0">
      <text>
        <r>
          <rPr>
            <b/>
            <sz val="11"/>
            <color indexed="10"/>
            <rFont val="Tahoma"/>
            <family val="2"/>
          </rPr>
          <t>Welcome to the LM5180 Design Tool</t>
        </r>
        <r>
          <rPr>
            <sz val="9"/>
            <color indexed="81"/>
            <rFont val="Tahoma"/>
            <family val="2"/>
          </rPr>
          <t xml:space="preserve">
This stand-alone tool facilitates and assists the power supply engineer with design of an isolated DC/DC regulator based on the </t>
        </r>
        <r>
          <rPr>
            <b/>
            <sz val="9"/>
            <color indexed="81"/>
            <rFont val="Tahoma"/>
            <family val="2"/>
          </rPr>
          <t>LM5180 low I</t>
        </r>
        <r>
          <rPr>
            <b/>
            <vertAlign val="subscript"/>
            <sz val="9"/>
            <color indexed="81"/>
            <rFont val="Tahoma"/>
            <family val="2"/>
          </rPr>
          <t>Q</t>
        </r>
        <r>
          <rPr>
            <b/>
            <sz val="9"/>
            <color indexed="81"/>
            <rFont val="Tahoma"/>
            <family val="2"/>
          </rPr>
          <t xml:space="preserve"> PSR flyback converter</t>
        </r>
        <r>
          <rPr>
            <sz val="9"/>
            <color indexed="81"/>
            <rFont val="Tahoma"/>
            <family val="2"/>
          </rPr>
          <t xml:space="preserve">. As such, the user can expeditiously arrive at an optimized design by virtue of the following:
- Select transformer parameters including turns ratio and mag inductance
- Determine input and output capacitances for specified ripple requirements (1% Vout and 5% Vin)
- Select components for feedback, soft-start, input UVLO, and temperature compensation
- Advise componnets (usually optional) for SW voltage clamp and and flyback diode snubber
- Optimize the design using efficiency and solution size as key performance metrics
- Inspect converter efficiency and switching frequency over load and line
- Analyze efficiency based on selected component parameters
- Review auto-generated schematic and BOM list
</t>
        </r>
        <r>
          <rPr>
            <b/>
            <sz val="9"/>
            <color indexed="81"/>
            <rFont val="Tahoma"/>
            <family val="2"/>
          </rPr>
          <t>IMPORTANT:</t>
        </r>
        <r>
          <rPr>
            <sz val="9"/>
            <color indexed="81"/>
            <rFont val="Tahoma"/>
            <family val="2"/>
          </rPr>
          <t xml:space="preserve"> You must enable macros if Microsoft EXCEL asks as the file is being opened.
U.S. English notation is used throughout.
</t>
        </r>
        <r>
          <rPr>
            <u/>
            <sz val="9"/>
            <color indexed="12"/>
            <rFont val="Tahoma"/>
            <family val="2"/>
          </rPr>
          <t>http://www.ti.com/widevin/</t>
        </r>
        <r>
          <rPr>
            <sz val="9"/>
            <color indexed="81"/>
            <rFont val="Tahoma"/>
            <family val="2"/>
          </rPr>
          <t xml:space="preserve">
</t>
        </r>
        <r>
          <rPr>
            <b/>
            <sz val="9"/>
            <color indexed="81"/>
            <rFont val="Tahoma"/>
            <family val="2"/>
          </rPr>
          <t xml:space="preserve">
Rev 3.11, Timothy Hegarty, Texas Instruments, Inc.</t>
        </r>
      </text>
    </comment>
    <comment ref="U3" authorId="0">
      <text>
        <r>
          <rPr>
            <b/>
            <u/>
            <sz val="11"/>
            <color indexed="10"/>
            <rFont val="Tahoma"/>
            <family val="2"/>
          </rPr>
          <t>Texas Instruments</t>
        </r>
        <r>
          <rPr>
            <sz val="11"/>
            <color indexed="10"/>
            <rFont val="Tahoma"/>
            <family val="2"/>
          </rPr>
          <t>:</t>
        </r>
        <r>
          <rPr>
            <sz val="9"/>
            <color indexed="81"/>
            <rFont val="Tahoma"/>
            <family val="2"/>
          </rPr>
          <t xml:space="preserve">
</t>
        </r>
        <r>
          <rPr>
            <b/>
            <sz val="9"/>
            <color indexed="81"/>
            <rFont val="Tahoma"/>
            <family val="2"/>
          </rPr>
          <t>Limited Use Policy</t>
        </r>
        <r>
          <rPr>
            <sz val="9"/>
            <color indexed="81"/>
            <rFont val="Tahoma"/>
            <family val="2"/>
          </rPr>
          <t xml:space="preserve">
You must treat this software and documentation like any other copyrighted material.
</t>
        </r>
        <r>
          <rPr>
            <b/>
            <sz val="9"/>
            <color indexed="81"/>
            <rFont val="Tahoma"/>
            <family val="2"/>
          </rPr>
          <t>You may not:</t>
        </r>
        <r>
          <rPr>
            <sz val="9"/>
            <color indexed="81"/>
            <rFont val="Tahoma"/>
            <family val="2"/>
          </rPr>
          <t xml:space="preserve">
- Copy documentation of the software
- Copy this software except to make archival or backup copies
- Reverse engineer, disassemble, decompile or make any attempt to discover the source code of the software 
- Place the software onto a server so that it is accessible via a public network such as the internet 
- Sublicense, rent, lease or lend any portion of the software or documentation.
Texas Instruments is not responsible for the validity of any design created with this design tool and recommends that all designs be fully tested and carefully verified. Refer to the LM5180 product datasheet and EVM user's guide for more details.
</t>
        </r>
        <r>
          <rPr>
            <b/>
            <sz val="9"/>
            <color indexed="81"/>
            <rFont val="Tahoma"/>
            <family val="2"/>
          </rPr>
          <t>Rev 3.11, Timothy Hegarty, Texas Instruments, Inc.</t>
        </r>
      </text>
    </comment>
    <comment ref="F6" authorId="0">
      <text>
        <r>
          <rPr>
            <b/>
            <u/>
            <sz val="9"/>
            <color indexed="81"/>
            <rFont val="Tahoma"/>
            <family val="2"/>
          </rPr>
          <t>Minimum Input Voltage</t>
        </r>
        <r>
          <rPr>
            <b/>
            <sz val="9"/>
            <color indexed="81"/>
            <rFont val="Tahoma"/>
            <family val="2"/>
          </rPr>
          <t>:</t>
        </r>
        <r>
          <rPr>
            <sz val="9"/>
            <color indexed="81"/>
            <rFont val="Tahoma"/>
            <family val="2"/>
          </rPr>
          <t xml:space="preserve">
Enter the minimum input operating voltage.
The LM5180 input voltage operating range is 4.5V to 70V.
</t>
        </r>
        <r>
          <rPr>
            <b/>
            <sz val="9"/>
            <color indexed="81"/>
            <rFont val="Tahoma"/>
            <family val="2"/>
          </rPr>
          <t>The text in this cell is red if:</t>
        </r>
        <r>
          <rPr>
            <sz val="9"/>
            <color indexed="81"/>
            <rFont val="Tahoma"/>
            <family val="2"/>
          </rPr>
          <t xml:space="preserve">
-The input voltage is above </t>
        </r>
        <r>
          <rPr>
            <b/>
            <sz val="9"/>
            <color indexed="10"/>
            <rFont val="Tahoma"/>
            <family val="2"/>
          </rPr>
          <t>70V</t>
        </r>
        <r>
          <rPr>
            <sz val="9"/>
            <color indexed="81"/>
            <rFont val="Tahoma"/>
            <family val="2"/>
          </rPr>
          <t xml:space="preserve">
-The input voltage is below </t>
        </r>
        <r>
          <rPr>
            <b/>
            <sz val="9"/>
            <color indexed="10"/>
            <rFont val="Tahoma"/>
            <family val="2"/>
          </rPr>
          <t>4.5V</t>
        </r>
      </text>
    </comment>
    <comment ref="M6" authorId="0">
      <text>
        <r>
          <rPr>
            <b/>
            <u/>
            <sz val="9"/>
            <color indexed="81"/>
            <rFont val="Tahoma"/>
            <family val="2"/>
          </rPr>
          <t>Minimum Magnetizing Inductance</t>
        </r>
        <r>
          <rPr>
            <b/>
            <sz val="9"/>
            <color indexed="81"/>
            <rFont val="Tahoma"/>
            <family val="2"/>
          </rPr>
          <t xml:space="preserve">:
</t>
        </r>
        <r>
          <rPr>
            <sz val="9"/>
            <color indexed="81"/>
            <rFont val="Tahoma"/>
            <family val="2"/>
          </rPr>
          <t>The minimum magnetizing inductance is set by the off-time constraint at light loads (in FFM). The requirement is that the magnetizing current must not decrease to zero in less than 500ns.</t>
        </r>
      </text>
    </comment>
    <comment ref="F7" authorId="0">
      <text>
        <r>
          <rPr>
            <b/>
            <u/>
            <sz val="9"/>
            <color indexed="81"/>
            <rFont val="Tahoma"/>
            <family val="2"/>
          </rPr>
          <t>Nominal Input Voltage</t>
        </r>
        <r>
          <rPr>
            <b/>
            <sz val="9"/>
            <color indexed="81"/>
            <rFont val="Tahoma"/>
            <family val="2"/>
          </rPr>
          <t>:</t>
        </r>
        <r>
          <rPr>
            <sz val="9"/>
            <color indexed="81"/>
            <rFont val="Tahoma"/>
            <family val="2"/>
          </rPr>
          <t xml:space="preserve">
Enter the nominal input operating voltage.
The LM5180 input voltage operating range is 4.5V to 70V.
</t>
        </r>
        <r>
          <rPr>
            <b/>
            <sz val="9"/>
            <color indexed="81"/>
            <rFont val="Tahoma"/>
            <family val="2"/>
          </rPr>
          <t>The text in this cell is red if:</t>
        </r>
        <r>
          <rPr>
            <sz val="9"/>
            <color indexed="81"/>
            <rFont val="Tahoma"/>
            <family val="2"/>
          </rPr>
          <t xml:space="preserve">
-The input voltage is above </t>
        </r>
        <r>
          <rPr>
            <b/>
            <sz val="9"/>
            <color indexed="10"/>
            <rFont val="Tahoma"/>
            <family val="2"/>
          </rPr>
          <t>70V</t>
        </r>
        <r>
          <rPr>
            <sz val="9"/>
            <color indexed="81"/>
            <rFont val="Tahoma"/>
            <family val="2"/>
          </rPr>
          <t xml:space="preserve">
-The input voltage is below </t>
        </r>
        <r>
          <rPr>
            <b/>
            <sz val="9"/>
            <color indexed="10"/>
            <rFont val="Tahoma"/>
            <family val="2"/>
          </rPr>
          <t>4.5V</t>
        </r>
      </text>
    </comment>
    <comment ref="M7" authorId="0">
      <text>
        <r>
          <rPr>
            <b/>
            <u/>
            <sz val="9"/>
            <color indexed="81"/>
            <rFont val="Tahoma"/>
            <family val="2"/>
          </rPr>
          <t>Magnetizing Inductance</t>
        </r>
        <r>
          <rPr>
            <b/>
            <sz val="9"/>
            <color indexed="81"/>
            <rFont val="Tahoma"/>
            <family val="2"/>
          </rPr>
          <t xml:space="preserve">:
</t>
        </r>
        <r>
          <rPr>
            <sz val="9"/>
            <color indexed="81"/>
            <rFont val="Tahoma"/>
            <family val="2"/>
          </rPr>
          <t xml:space="preserve">Enter the transformer mag inductance here.
Lower inductance provides an earlier transition from FFM to DCM but pushes out (or entirely eliminates) BCM operation. The main priviso is that the rated output current is achieved at nominal input voltage.
</t>
        </r>
        <r>
          <rPr>
            <b/>
            <sz val="9"/>
            <color indexed="81"/>
            <rFont val="Tahoma"/>
            <family val="2"/>
          </rPr>
          <t xml:space="preserve">This cell is flagged </t>
        </r>
        <r>
          <rPr>
            <b/>
            <sz val="9"/>
            <color indexed="10"/>
            <rFont val="Tahoma"/>
            <family val="2"/>
          </rPr>
          <t>RED</t>
        </r>
        <r>
          <rPr>
            <b/>
            <sz val="9"/>
            <color indexed="81"/>
            <rFont val="Tahoma"/>
            <family val="2"/>
          </rPr>
          <t xml:space="preserve"> if:</t>
        </r>
        <r>
          <rPr>
            <b/>
            <sz val="9"/>
            <color indexed="39"/>
            <rFont val="Tahoma"/>
            <family val="2"/>
          </rPr>
          <t xml:space="preserve">
</t>
        </r>
        <r>
          <rPr>
            <b/>
            <sz val="9"/>
            <color indexed="10"/>
            <rFont val="Tahoma"/>
            <family val="2"/>
          </rPr>
          <t>-The chosen inductance causes the peak current at max input voltage...</t>
        </r>
      </text>
    </comment>
    <comment ref="F8" authorId="0">
      <text>
        <r>
          <rPr>
            <b/>
            <u/>
            <sz val="9"/>
            <color indexed="81"/>
            <rFont val="Tahoma"/>
            <family val="2"/>
          </rPr>
          <t>Maximum Input Voltage</t>
        </r>
        <r>
          <rPr>
            <b/>
            <sz val="9"/>
            <color indexed="81"/>
            <rFont val="Tahoma"/>
            <family val="2"/>
          </rPr>
          <t>:</t>
        </r>
        <r>
          <rPr>
            <sz val="9"/>
            <color indexed="81"/>
            <rFont val="Tahoma"/>
            <family val="2"/>
          </rPr>
          <t xml:space="preserve">
Enter the maximum input operating voltage.
The LM5180 input voltage operating range is 4.5V to 70V.
</t>
        </r>
        <r>
          <rPr>
            <b/>
            <sz val="9"/>
            <color indexed="81"/>
            <rFont val="Tahoma"/>
            <family val="2"/>
          </rPr>
          <t>The text in this cell is red if:</t>
        </r>
        <r>
          <rPr>
            <sz val="9"/>
            <color indexed="81"/>
            <rFont val="Tahoma"/>
            <family val="2"/>
          </rPr>
          <t xml:space="preserve">
-The input voltage is above </t>
        </r>
        <r>
          <rPr>
            <b/>
            <sz val="9"/>
            <color indexed="10"/>
            <rFont val="Tahoma"/>
            <family val="2"/>
          </rPr>
          <t>70V</t>
        </r>
        <r>
          <rPr>
            <sz val="9"/>
            <color indexed="81"/>
            <rFont val="Tahoma"/>
            <family val="2"/>
          </rPr>
          <t xml:space="preserve">
-The input voltage is below </t>
        </r>
        <r>
          <rPr>
            <b/>
            <sz val="9"/>
            <color indexed="10"/>
            <rFont val="Tahoma"/>
            <family val="2"/>
          </rPr>
          <t>4.5V</t>
        </r>
      </text>
    </comment>
    <comment ref="M8" authorId="0">
      <text>
        <r>
          <rPr>
            <b/>
            <u/>
            <sz val="9"/>
            <color indexed="81"/>
            <rFont val="Tahoma"/>
            <family val="2"/>
          </rPr>
          <t>Primary Winding DCR</t>
        </r>
        <r>
          <rPr>
            <b/>
            <sz val="9"/>
            <color indexed="81"/>
            <rFont val="Tahoma"/>
            <family val="2"/>
          </rPr>
          <t xml:space="preserve">:
</t>
        </r>
        <r>
          <rPr>
            <sz val="9"/>
            <color indexed="81"/>
            <rFont val="Tahoma"/>
            <family val="2"/>
          </rPr>
          <t>Enter the primary winding DC resistance (DCR) here. This is typically specified in the transformer datasheet at 25°C copper temperature.</t>
        </r>
      </text>
    </comment>
    <comment ref="M9" authorId="0">
      <text>
        <r>
          <rPr>
            <b/>
            <u/>
            <sz val="9"/>
            <color indexed="81"/>
            <rFont val="Tahoma"/>
            <family val="2"/>
          </rPr>
          <t>Secondary Winding DCR</t>
        </r>
        <r>
          <rPr>
            <b/>
            <sz val="9"/>
            <color indexed="81"/>
            <rFont val="Tahoma"/>
            <family val="2"/>
          </rPr>
          <t xml:space="preserve">:
</t>
        </r>
        <r>
          <rPr>
            <sz val="9"/>
            <color indexed="81"/>
            <rFont val="Tahoma"/>
            <family val="2"/>
          </rPr>
          <t>Enter the secondary winding DCR here. This is typically specified in the transformer datasheet at 25°C copper temperature.</t>
        </r>
      </text>
    </comment>
    <comment ref="F10" authorId="0">
      <text>
        <r>
          <rPr>
            <b/>
            <u/>
            <sz val="9"/>
            <color indexed="81"/>
            <rFont val="Tahoma"/>
            <family val="2"/>
          </rPr>
          <t>Output Voltage</t>
        </r>
        <r>
          <rPr>
            <b/>
            <sz val="9"/>
            <color indexed="81"/>
            <rFont val="Tahoma"/>
            <family val="2"/>
          </rPr>
          <t xml:space="preserve">:
</t>
        </r>
        <r>
          <rPr>
            <sz val="9"/>
            <color indexed="81"/>
            <rFont val="Tahoma"/>
            <family val="2"/>
          </rPr>
          <t xml:space="preserve">Enter the desired </t>
        </r>
        <r>
          <rPr>
            <sz val="9"/>
            <color indexed="8"/>
            <rFont val="Tahoma"/>
            <family val="2"/>
          </rPr>
          <t>output</t>
        </r>
        <r>
          <rPr>
            <sz val="9"/>
            <color indexed="81"/>
            <rFont val="Tahoma"/>
            <family val="2"/>
          </rPr>
          <t xml:space="preserve"> voltage here.</t>
        </r>
      </text>
    </comment>
    <comment ref="F11" authorId="0">
      <text>
        <r>
          <rPr>
            <b/>
            <u/>
            <sz val="9"/>
            <color indexed="81"/>
            <rFont val="Tahoma"/>
            <family val="2"/>
          </rPr>
          <t>Output Current</t>
        </r>
        <r>
          <rPr>
            <b/>
            <sz val="9"/>
            <color indexed="81"/>
            <rFont val="Tahoma"/>
            <family val="2"/>
          </rPr>
          <t xml:space="preserve">:
</t>
        </r>
        <r>
          <rPr>
            <sz val="9"/>
            <color indexed="81"/>
            <rFont val="Tahoma"/>
            <family val="2"/>
          </rPr>
          <t>Enter the desired output current here.</t>
        </r>
        <r>
          <rPr>
            <b/>
            <sz val="9"/>
            <color indexed="81"/>
            <rFont val="Tahoma"/>
            <family val="2"/>
          </rPr>
          <t xml:space="preserve">
</t>
        </r>
        <r>
          <rPr>
            <sz val="9"/>
            <color indexed="81"/>
            <rFont val="Tahoma"/>
            <family val="2"/>
          </rPr>
          <t xml:space="preserve">The text in this cell is </t>
        </r>
        <r>
          <rPr>
            <b/>
            <sz val="9"/>
            <color indexed="10"/>
            <rFont val="Tahoma"/>
            <family val="2"/>
          </rPr>
          <t>RED</t>
        </r>
        <r>
          <rPr>
            <sz val="9"/>
            <color indexed="81"/>
            <rFont val="Tahoma"/>
            <family val="2"/>
          </rPr>
          <t xml:space="preserve"> if:</t>
        </r>
        <r>
          <rPr>
            <b/>
            <sz val="9"/>
            <color indexed="81"/>
            <rFont val="Tahoma"/>
            <family val="2"/>
          </rPr>
          <t xml:space="preserve">
</t>
        </r>
        <r>
          <rPr>
            <b/>
            <sz val="9"/>
            <color indexed="39"/>
            <rFont val="Tahoma"/>
            <family val="2"/>
          </rPr>
          <t>-The output power is above</t>
        </r>
        <r>
          <rPr>
            <b/>
            <sz val="9"/>
            <color indexed="10"/>
            <rFont val="Tahoma"/>
            <family val="2"/>
          </rPr>
          <t xml:space="preserve"> 7W (the output current causes current limit to engage)
</t>
        </r>
        <r>
          <rPr>
            <b/>
            <sz val="9"/>
            <color indexed="39"/>
            <rFont val="Tahoma"/>
            <family val="2"/>
          </rPr>
          <t xml:space="preserve">-The output current is below </t>
        </r>
        <r>
          <rPr>
            <b/>
            <sz val="9"/>
            <color indexed="10"/>
            <rFont val="Tahoma"/>
            <family val="2"/>
          </rPr>
          <t xml:space="preserve">10mA
</t>
        </r>
      </text>
    </comment>
    <comment ref="M14" authorId="0">
      <text>
        <r>
          <rPr>
            <b/>
            <u/>
            <sz val="9"/>
            <color indexed="81"/>
            <rFont val="Tahoma"/>
            <family val="2"/>
          </rPr>
          <t>Max Duty Cycle</t>
        </r>
        <r>
          <rPr>
            <b/>
            <sz val="9"/>
            <color indexed="81"/>
            <rFont val="Tahoma"/>
            <family val="2"/>
          </rPr>
          <t xml:space="preserve">:
</t>
        </r>
        <r>
          <rPr>
            <sz val="9"/>
            <color indexed="81"/>
            <rFont val="Tahoma"/>
            <family val="2"/>
          </rPr>
          <t>The max operating duty cycle is preferably kept below 65% to prevent high peak/rms currents in the flyback diode(s) and secondary winding(s).</t>
        </r>
      </text>
    </comment>
    <comment ref="M15" authorId="0">
      <text>
        <r>
          <rPr>
            <b/>
            <u/>
            <sz val="9"/>
            <color indexed="81"/>
            <rFont val="Tahoma"/>
            <family val="2"/>
          </rPr>
          <t>Max Output Current at VIN(min)</t>
        </r>
        <r>
          <rPr>
            <b/>
            <sz val="9"/>
            <color indexed="81"/>
            <rFont val="Tahoma"/>
            <family val="2"/>
          </rPr>
          <t xml:space="preserve">:
</t>
        </r>
        <r>
          <rPr>
            <sz val="9"/>
            <color indexed="81"/>
            <rFont val="Tahoma"/>
            <family val="2"/>
          </rPr>
          <t>The output power is most limited at minimum input operating voltage. Adjust the turns ratio if needed.</t>
        </r>
      </text>
    </comment>
    <comment ref="F16" authorId="0">
      <text>
        <r>
          <rPr>
            <b/>
            <u/>
            <sz val="9"/>
            <color indexed="81"/>
            <rFont val="Tahoma"/>
            <family val="2"/>
          </rPr>
          <t>Minimum Recommended Cin</t>
        </r>
        <r>
          <rPr>
            <b/>
            <sz val="9"/>
            <color indexed="81"/>
            <rFont val="Tahoma"/>
            <family val="2"/>
          </rPr>
          <t xml:space="preserve">:
</t>
        </r>
        <r>
          <rPr>
            <sz val="9"/>
            <color indexed="81"/>
            <rFont val="Tahoma"/>
            <family val="2"/>
          </rPr>
          <t xml:space="preserve">This is the minimum input cap based on 10% pk-pk voltage ripple at the input.
</t>
        </r>
        <r>
          <rPr>
            <sz val="9"/>
            <color indexed="39"/>
            <rFont val="Tahoma"/>
            <family val="2"/>
          </rPr>
          <t xml:space="preserve">
</t>
        </r>
        <r>
          <rPr>
            <b/>
            <sz val="9"/>
            <color indexed="39"/>
            <rFont val="Tahoma"/>
            <family val="2"/>
          </rPr>
          <t>This condition is derived at VIN(nom).</t>
        </r>
        <r>
          <rPr>
            <b/>
            <sz val="9"/>
            <color indexed="81"/>
            <rFont val="Tahoma"/>
            <family val="2"/>
          </rPr>
          <t xml:space="preserve">
</t>
        </r>
      </text>
    </comment>
    <comment ref="F17" authorId="0">
      <text>
        <r>
          <rPr>
            <b/>
            <u/>
            <sz val="9"/>
            <color indexed="81"/>
            <rFont val="Tahoma"/>
            <family val="2"/>
          </rPr>
          <t>Input Capacitance</t>
        </r>
        <r>
          <rPr>
            <b/>
            <sz val="9"/>
            <color indexed="81"/>
            <rFont val="Tahoma"/>
            <family val="2"/>
          </rPr>
          <t xml:space="preserve">:
</t>
        </r>
        <r>
          <rPr>
            <sz val="9"/>
            <color indexed="81"/>
            <rFont val="Tahoma"/>
            <family val="2"/>
          </rPr>
          <t xml:space="preserve">Enter the input capacitance here based on the minimum calculated result. Ensure that the nominal capacitance is appropriately derated for applied voltage.
</t>
        </r>
        <r>
          <rPr>
            <b/>
            <sz val="9"/>
            <color indexed="81"/>
            <rFont val="Tahoma"/>
            <family val="2"/>
          </rPr>
          <t xml:space="preserve">The text in this cell is flagged </t>
        </r>
        <r>
          <rPr>
            <b/>
            <sz val="9"/>
            <color indexed="10"/>
            <rFont val="Tahoma"/>
            <family val="2"/>
          </rPr>
          <t>red</t>
        </r>
        <r>
          <rPr>
            <b/>
            <sz val="9"/>
            <color indexed="81"/>
            <rFont val="Tahoma"/>
            <family val="2"/>
          </rPr>
          <t xml:space="preserve"> if:
</t>
        </r>
        <r>
          <rPr>
            <b/>
            <sz val="9"/>
            <color indexed="10"/>
            <rFont val="Tahoma"/>
            <family val="2"/>
          </rPr>
          <t>-The chosen input capacitor is smaller than the minimum ideal capacitance.</t>
        </r>
      </text>
    </comment>
    <comment ref="F18" authorId="0">
      <text>
        <r>
          <rPr>
            <b/>
            <u/>
            <sz val="9"/>
            <color indexed="81"/>
            <rFont val="Tahoma"/>
            <family val="2"/>
          </rPr>
          <t>Input Capacitor ESR</t>
        </r>
        <r>
          <rPr>
            <b/>
            <sz val="9"/>
            <color indexed="81"/>
            <rFont val="Tahoma"/>
            <family val="2"/>
          </rPr>
          <t xml:space="preserve">:
</t>
        </r>
        <r>
          <rPr>
            <sz val="9"/>
            <color indexed="81"/>
            <rFont val="Tahoma"/>
            <family val="2"/>
          </rPr>
          <t>Enter the input capacitor ESR here based on the maximum allowed input capacitor ESR to meet the ripple voltage specification.</t>
        </r>
        <r>
          <rPr>
            <b/>
            <sz val="9"/>
            <color indexed="81"/>
            <rFont val="Tahoma"/>
            <family val="2"/>
          </rPr>
          <t xml:space="preserve">
The text in this cell will be </t>
        </r>
        <r>
          <rPr>
            <b/>
            <sz val="9"/>
            <color indexed="10"/>
            <rFont val="Tahoma"/>
            <family val="2"/>
          </rPr>
          <t>red</t>
        </r>
        <r>
          <rPr>
            <b/>
            <sz val="9"/>
            <color indexed="81"/>
            <rFont val="Tahoma"/>
            <family val="2"/>
          </rPr>
          <t xml:space="preserve"> if:
</t>
        </r>
        <r>
          <rPr>
            <b/>
            <sz val="9"/>
            <color indexed="10"/>
            <rFont val="Tahoma"/>
            <family val="2"/>
          </rPr>
          <t>-ESR is zero, or
-ESR exceeds maximum allowable ESR to meet the voltage ripple specification.</t>
        </r>
        <r>
          <rPr>
            <sz val="11"/>
            <color indexed="81"/>
            <rFont val="Tahoma"/>
            <family val="2"/>
          </rPr>
          <t xml:space="preserve">
</t>
        </r>
      </text>
    </comment>
    <comment ref="F20" authorId="0">
      <text>
        <r>
          <rPr>
            <b/>
            <u/>
            <sz val="9"/>
            <color indexed="81"/>
            <rFont val="Tahoma"/>
            <family val="2"/>
          </rPr>
          <t>Minimum Recommneded Cout</t>
        </r>
        <r>
          <rPr>
            <b/>
            <sz val="9"/>
            <color indexed="81"/>
            <rFont val="Tahoma"/>
            <family val="2"/>
          </rPr>
          <t xml:space="preserve">:
</t>
        </r>
        <r>
          <rPr>
            <sz val="9"/>
            <color indexed="81"/>
            <rFont val="Tahoma"/>
            <family val="2"/>
          </rPr>
          <t xml:space="preserve">This is the minimum output cap based on 1% ripple at Vin(nom), full load
</t>
        </r>
        <r>
          <rPr>
            <sz val="9"/>
            <color indexed="39"/>
            <rFont val="Tahoma"/>
            <family val="2"/>
          </rPr>
          <t xml:space="preserve">
</t>
        </r>
        <r>
          <rPr>
            <b/>
            <sz val="9"/>
            <color indexed="39"/>
            <rFont val="Tahoma"/>
            <family val="2"/>
          </rPr>
          <t>NB: this condition is derived at VIN(nom).</t>
        </r>
        <r>
          <rPr>
            <b/>
            <sz val="9"/>
            <color indexed="81"/>
            <rFont val="Tahoma"/>
            <family val="2"/>
          </rPr>
          <t xml:space="preserve">
</t>
        </r>
      </text>
    </comment>
    <comment ref="F21" authorId="0">
      <text>
        <r>
          <rPr>
            <b/>
            <u/>
            <sz val="9"/>
            <color indexed="81"/>
            <rFont val="Tahoma"/>
            <family val="2"/>
          </rPr>
          <t>Output Capacitance</t>
        </r>
        <r>
          <rPr>
            <b/>
            <sz val="9"/>
            <color indexed="81"/>
            <rFont val="Tahoma"/>
            <family val="2"/>
          </rPr>
          <t>:</t>
        </r>
        <r>
          <rPr>
            <sz val="9"/>
            <color indexed="81"/>
            <rFont val="Tahoma"/>
            <family val="2"/>
          </rPr>
          <t xml:space="preserve">
Enter the output capacitance here based on the minimum calculated result. Make sure that the nominal capacitance is appropriately derated for applied voltage, particularly with </t>
        </r>
        <r>
          <rPr>
            <sz val="9"/>
            <color indexed="39"/>
            <rFont val="Tahoma"/>
            <family val="2"/>
          </rPr>
          <t>ceramics</t>
        </r>
        <r>
          <rPr>
            <sz val="9"/>
            <color indexed="81"/>
            <rFont val="Tahoma"/>
            <family val="2"/>
          </rPr>
          <t xml:space="preserve">.
</t>
        </r>
        <r>
          <rPr>
            <b/>
            <sz val="9"/>
            <color indexed="81"/>
            <rFont val="Tahoma"/>
            <family val="2"/>
          </rPr>
          <t>The text in this cell is flagged red if:</t>
        </r>
        <r>
          <rPr>
            <sz val="9"/>
            <color indexed="81"/>
            <rFont val="Tahoma"/>
            <family val="2"/>
          </rPr>
          <t xml:space="preserve">
</t>
        </r>
        <r>
          <rPr>
            <b/>
            <sz val="9"/>
            <color indexed="10"/>
            <rFont val="Tahoma"/>
            <family val="2"/>
          </rPr>
          <t>-The chosen output capacitor is smaller than the minimum ideal capacitance.</t>
        </r>
      </text>
    </comment>
    <comment ref="F22" authorId="0">
      <text>
        <r>
          <rPr>
            <b/>
            <u/>
            <sz val="9"/>
            <color indexed="81"/>
            <rFont val="Tahoma"/>
            <family val="2"/>
          </rPr>
          <t>Output Capacitor ESR</t>
        </r>
        <r>
          <rPr>
            <b/>
            <sz val="9"/>
            <color indexed="81"/>
            <rFont val="Tahoma"/>
            <family val="2"/>
          </rPr>
          <t xml:space="preserve">:
</t>
        </r>
        <r>
          <rPr>
            <sz val="9"/>
            <color indexed="81"/>
            <rFont val="Tahoma"/>
            <family val="2"/>
          </rPr>
          <t>Enter the output capacitor ESR here based on the maximum allowed output capacitor ESR to meet the ripple voltage specification.</t>
        </r>
        <r>
          <rPr>
            <b/>
            <sz val="9"/>
            <color indexed="81"/>
            <rFont val="Tahoma"/>
            <family val="2"/>
          </rPr>
          <t xml:space="preserve">
The text in this cell will be </t>
        </r>
        <r>
          <rPr>
            <b/>
            <sz val="9"/>
            <color indexed="10"/>
            <rFont val="Tahoma"/>
            <family val="2"/>
          </rPr>
          <t>red</t>
        </r>
        <r>
          <rPr>
            <b/>
            <sz val="9"/>
            <color indexed="81"/>
            <rFont val="Tahoma"/>
            <family val="2"/>
          </rPr>
          <t xml:space="preserve"> if:
</t>
        </r>
        <r>
          <rPr>
            <b/>
            <sz val="9"/>
            <color indexed="10"/>
            <rFont val="Tahoma"/>
            <family val="2"/>
          </rPr>
          <t>-ESR is zero, or
-ESR exceeds maximum allowable ESR to meet the voltage ripple specification.</t>
        </r>
        <r>
          <rPr>
            <sz val="11"/>
            <color indexed="81"/>
            <rFont val="Tahoma"/>
            <family val="2"/>
          </rPr>
          <t xml:space="preserve">
</t>
        </r>
      </text>
    </comment>
    <comment ref="F28" authorId="0">
      <text>
        <r>
          <rPr>
            <b/>
            <u/>
            <sz val="9"/>
            <color indexed="81"/>
            <rFont val="Tahoma"/>
            <family val="2"/>
          </rPr>
          <t>Soft-Start Time</t>
        </r>
        <r>
          <rPr>
            <b/>
            <sz val="9"/>
            <color indexed="81"/>
            <rFont val="Tahoma"/>
            <family val="2"/>
          </rPr>
          <t xml:space="preserve">:
</t>
        </r>
        <r>
          <rPr>
            <sz val="9"/>
            <color indexed="81"/>
            <rFont val="Tahoma"/>
            <family val="2"/>
          </rPr>
          <t xml:space="preserve">Enter the </t>
        </r>
        <r>
          <rPr>
            <b/>
            <sz val="9"/>
            <color indexed="39"/>
            <rFont val="Tahoma"/>
            <family val="2"/>
          </rPr>
          <t>desired soft-start time</t>
        </r>
        <r>
          <rPr>
            <sz val="9"/>
            <color indexed="81"/>
            <rFont val="Tahoma"/>
            <family val="2"/>
          </rPr>
          <t xml:space="preserve"> as required.
Leave the </t>
        </r>
        <r>
          <rPr>
            <b/>
            <sz val="9"/>
            <color indexed="39"/>
            <rFont val="Tahoma"/>
            <family val="2"/>
          </rPr>
          <t>SS/BIAS pin open circuit</t>
        </r>
        <r>
          <rPr>
            <sz val="9"/>
            <color indexed="81"/>
            <rFont val="Tahoma"/>
            <family val="2"/>
          </rPr>
          <t xml:space="preserve"> to provide a soft-start time of </t>
        </r>
        <r>
          <rPr>
            <b/>
            <sz val="9"/>
            <color indexed="81"/>
            <rFont val="Tahoma"/>
            <family val="2"/>
          </rPr>
          <t>5ms</t>
        </r>
        <r>
          <rPr>
            <sz val="9"/>
            <color indexed="81"/>
            <rFont val="Tahoma"/>
            <family val="2"/>
          </rPr>
          <t>.
Connect an auxiliary bias rail to SS/BIAS to reduce quiescent current and bias power dissipation.</t>
        </r>
        <r>
          <rPr>
            <b/>
            <sz val="9"/>
            <color indexed="81"/>
            <rFont val="Tahoma"/>
            <family val="2"/>
          </rPr>
          <t xml:space="preserve">
The text in the cell below becomes red if:
</t>
        </r>
        <r>
          <rPr>
            <b/>
            <sz val="9"/>
            <color indexed="10"/>
            <rFont val="Tahoma"/>
            <family val="2"/>
          </rPr>
          <t>-The specified programmable soft-start time is less than 0.5ms.</t>
        </r>
        <r>
          <rPr>
            <sz val="9"/>
            <color indexed="81"/>
            <rFont val="Tahoma"/>
            <family val="2"/>
          </rPr>
          <t xml:space="preserve">
</t>
        </r>
      </text>
    </comment>
    <comment ref="F34" authorId="0">
      <text>
        <r>
          <rPr>
            <b/>
            <u/>
            <sz val="9"/>
            <color indexed="81"/>
            <rFont val="Tahoma"/>
            <family val="2"/>
          </rPr>
          <t>Nominal Input UVLO Turn-On/Off Threshold Levels</t>
        </r>
        <r>
          <rPr>
            <b/>
            <sz val="9"/>
            <color indexed="81"/>
            <rFont val="Tahoma"/>
            <family val="2"/>
          </rPr>
          <t>:</t>
        </r>
        <r>
          <rPr>
            <sz val="9"/>
            <color indexed="81"/>
            <rFont val="Tahoma"/>
            <family val="2"/>
          </rPr>
          <t xml:space="preserve">
Enter the nominal input voltages for UVLO turn-on and turn-off. 
Note that the LM5180 input operating voltage range is</t>
        </r>
        <r>
          <rPr>
            <b/>
            <sz val="9"/>
            <color indexed="81"/>
            <rFont val="Tahoma"/>
            <family val="2"/>
          </rPr>
          <t xml:space="preserve"> 4.5V to 70V</t>
        </r>
        <r>
          <rPr>
            <sz val="9"/>
            <color indexed="81"/>
            <rFont val="Tahoma"/>
            <family val="2"/>
          </rPr>
          <t xml:space="preserve">.
</t>
        </r>
        <r>
          <rPr>
            <b/>
            <sz val="9"/>
            <color indexed="81"/>
            <rFont val="Tahoma"/>
            <family val="2"/>
          </rPr>
          <t>The text in the cell below becomes red if:</t>
        </r>
        <r>
          <rPr>
            <sz val="9"/>
            <color indexed="81"/>
            <rFont val="Tahoma"/>
            <family val="2"/>
          </rPr>
          <t xml:space="preserve">
-The input voltage UVLO turn-on is above </t>
        </r>
        <r>
          <rPr>
            <b/>
            <sz val="9"/>
            <color indexed="10"/>
            <rFont val="Tahoma"/>
            <family val="2"/>
          </rPr>
          <t>70V</t>
        </r>
        <r>
          <rPr>
            <sz val="9"/>
            <color indexed="81"/>
            <rFont val="Tahoma"/>
            <family val="2"/>
          </rPr>
          <t xml:space="preserve">
-The input voltage UVLO turn-on is below </t>
        </r>
        <r>
          <rPr>
            <b/>
            <sz val="9"/>
            <color indexed="10"/>
            <rFont val="Tahoma"/>
            <family val="2"/>
          </rPr>
          <t xml:space="preserve">4.5V
</t>
        </r>
        <r>
          <rPr>
            <b/>
            <sz val="9"/>
            <color indexed="39"/>
            <rFont val="Tahoma"/>
            <family val="2"/>
          </rPr>
          <t>If the internal UVLO is sufficient, connect EN to logic high or VIN.</t>
        </r>
      </text>
    </comment>
    <comment ref="F41" authorId="1">
      <text>
        <r>
          <rPr>
            <b/>
            <u/>
            <sz val="9"/>
            <color indexed="81"/>
            <rFont val="Tahoma"/>
            <family val="2"/>
          </rPr>
          <t>Diode Drop</t>
        </r>
        <r>
          <rPr>
            <b/>
            <sz val="9"/>
            <color indexed="81"/>
            <rFont val="Tahoma"/>
            <family val="2"/>
          </rPr>
          <t>:</t>
        </r>
        <r>
          <rPr>
            <sz val="9"/>
            <color indexed="81"/>
            <rFont val="Tahoma"/>
            <family val="2"/>
          </rPr>
          <t xml:space="preserve">
Enter the voltage drop of the flyback diode at no load, 25°C (used for turns ratio calculations)</t>
        </r>
      </text>
    </comment>
    <comment ref="F42" authorId="1">
      <text>
        <r>
          <rPr>
            <b/>
            <u/>
            <sz val="9"/>
            <color indexed="81"/>
            <rFont val="Tahoma"/>
            <family val="2"/>
          </rPr>
          <t>Diode Drop</t>
        </r>
        <r>
          <rPr>
            <b/>
            <sz val="9"/>
            <color indexed="81"/>
            <rFont val="Tahoma"/>
            <family val="2"/>
          </rPr>
          <t>:</t>
        </r>
        <r>
          <rPr>
            <sz val="9"/>
            <color indexed="81"/>
            <rFont val="Tahoma"/>
            <family val="2"/>
          </rPr>
          <t xml:space="preserve">
Enter the voltage drop of the flyback diode at full load, 25°C (used for power loss calculations)</t>
        </r>
      </text>
    </comment>
    <comment ref="F43" authorId="0">
      <text>
        <r>
          <rPr>
            <b/>
            <u/>
            <sz val="9"/>
            <color indexed="81"/>
            <rFont val="Tahoma"/>
            <family val="2"/>
          </rPr>
          <t>Estimated Thermal Impedance</t>
        </r>
        <r>
          <rPr>
            <b/>
            <sz val="9"/>
            <color indexed="81"/>
            <rFont val="Tahoma"/>
            <family val="2"/>
          </rPr>
          <t xml:space="preserve">:
</t>
        </r>
        <r>
          <rPr>
            <sz val="9"/>
            <color indexed="81"/>
            <rFont val="Tahoma"/>
            <family val="2"/>
          </rPr>
          <t xml:space="preserve">Enter the LM5180's junction-to-ambient thermal impedance, which relates to PCB copper weight and area for heatsinking, local ariflow rate, and other factors.
</t>
        </r>
      </text>
    </comment>
    <comment ref="F44" authorId="0">
      <text>
        <r>
          <rPr>
            <b/>
            <u/>
            <sz val="9"/>
            <color indexed="81"/>
            <rFont val="Tahoma"/>
            <family val="2"/>
          </rPr>
          <t>Ambient Operating Temperature</t>
        </r>
        <r>
          <rPr>
            <b/>
            <sz val="9"/>
            <color indexed="81"/>
            <rFont val="Tahoma"/>
            <family val="2"/>
          </rPr>
          <t xml:space="preserve">:
</t>
        </r>
        <r>
          <rPr>
            <sz val="9"/>
            <color indexed="81"/>
            <rFont val="Tahoma"/>
            <family val="2"/>
          </rPr>
          <t>Enter the LM5180's local ambient temperature (T</t>
        </r>
        <r>
          <rPr>
            <vertAlign val="subscript"/>
            <sz val="9"/>
            <color indexed="81"/>
            <rFont val="Tahoma"/>
            <family val="2"/>
          </rPr>
          <t>A</t>
        </r>
        <r>
          <rPr>
            <sz val="9"/>
            <color indexed="81"/>
            <rFont val="Tahoma"/>
            <family val="2"/>
          </rPr>
          <t xml:space="preserve">) here.
</t>
        </r>
        <r>
          <rPr>
            <b/>
            <sz val="9"/>
            <color indexed="81"/>
            <rFont val="Tahoma"/>
            <family val="2"/>
          </rPr>
          <t xml:space="preserve">The text in this cell is flagged </t>
        </r>
        <r>
          <rPr>
            <b/>
            <sz val="9"/>
            <color indexed="10"/>
            <rFont val="Tahoma"/>
            <family val="2"/>
          </rPr>
          <t>red</t>
        </r>
        <r>
          <rPr>
            <b/>
            <sz val="9"/>
            <color indexed="81"/>
            <rFont val="Tahoma"/>
            <family val="2"/>
          </rPr>
          <t xml:space="preserve"> if:
</t>
        </r>
        <r>
          <rPr>
            <b/>
            <sz val="9"/>
            <color indexed="10"/>
            <rFont val="Tahoma"/>
            <family val="2"/>
          </rPr>
          <t>-The chosen ambient temperature is below -40°C or above 150°C.</t>
        </r>
      </text>
    </comment>
    <comment ref="F46" authorId="0">
      <text>
        <r>
          <rPr>
            <b/>
            <u/>
            <sz val="9"/>
            <color indexed="81"/>
            <rFont val="Tahoma"/>
            <family val="2"/>
          </rPr>
          <t>Operating Junction Temperature</t>
        </r>
        <r>
          <rPr>
            <b/>
            <sz val="9"/>
            <color indexed="81"/>
            <rFont val="Tahoma"/>
            <family val="2"/>
          </rPr>
          <t xml:space="preserve">:
</t>
        </r>
        <r>
          <rPr>
            <sz val="9"/>
            <color indexed="81"/>
            <rFont val="Tahoma"/>
            <family val="2"/>
          </rPr>
          <t>Here is an estimate of the LM5180's opertaing junction temperature (T</t>
        </r>
        <r>
          <rPr>
            <vertAlign val="subscript"/>
            <sz val="9"/>
            <color indexed="81"/>
            <rFont val="Tahoma"/>
            <family val="2"/>
          </rPr>
          <t>J</t>
        </r>
        <r>
          <rPr>
            <sz val="9"/>
            <color indexed="81"/>
            <rFont val="Tahoma"/>
            <family val="2"/>
          </rPr>
          <t xml:space="preserve">) at full load and nominal input voltage.
</t>
        </r>
        <r>
          <rPr>
            <b/>
            <sz val="9"/>
            <color indexed="81"/>
            <rFont val="Tahoma"/>
            <family val="2"/>
          </rPr>
          <t xml:space="preserve">The text in this cell is flagged </t>
        </r>
        <r>
          <rPr>
            <b/>
            <sz val="9"/>
            <color indexed="10"/>
            <rFont val="Tahoma"/>
            <family val="2"/>
          </rPr>
          <t>red</t>
        </r>
        <r>
          <rPr>
            <b/>
            <sz val="9"/>
            <color indexed="81"/>
            <rFont val="Tahoma"/>
            <family val="2"/>
          </rPr>
          <t xml:space="preserve"> if:
</t>
        </r>
        <r>
          <rPr>
            <b/>
            <sz val="9"/>
            <color indexed="10"/>
            <rFont val="Tahoma"/>
            <family val="2"/>
          </rPr>
          <t>-The calculated junction temperature is below -40°C or above 150°C.</t>
        </r>
      </text>
    </comment>
  </commentList>
</comments>
</file>

<file path=xl/comments2.xml><?xml version="1.0" encoding="utf-8"?>
<comments xmlns="http://schemas.openxmlformats.org/spreadsheetml/2006/main">
  <authors>
    <author>Timothy Hegarty</author>
  </authors>
  <commentList>
    <comment ref="A1" authorId="0">
      <text>
        <r>
          <rPr>
            <sz val="11"/>
            <color indexed="81"/>
            <rFont val="Tahoma"/>
            <family val="2"/>
          </rPr>
          <t>This efficiency calculator is aimed towards low current, COT-type architectures. Specifically, the "On Time" is programmed by the timing resistor, Rt. Meanwhile, the "Off Time" is determined by zero crossing of the inductor current crosses (in DCM) or when FB touches VREF (in CCM). In the DCM configuration, it is assumed that the effective switching frequency is proportional to output current.</t>
        </r>
      </text>
    </comment>
    <comment ref="G2" authorId="0">
      <text>
        <r>
          <rPr>
            <b/>
            <u/>
            <sz val="11"/>
            <color indexed="10"/>
            <rFont val="Tahoma"/>
            <family val="2"/>
          </rPr>
          <t>Texas Instruments</t>
        </r>
        <r>
          <rPr>
            <sz val="11"/>
            <color indexed="10"/>
            <rFont val="Tahoma"/>
            <family val="2"/>
          </rPr>
          <t>:</t>
        </r>
        <r>
          <rPr>
            <sz val="9"/>
            <color indexed="81"/>
            <rFont val="Tahoma"/>
            <family val="2"/>
          </rPr>
          <t xml:space="preserve">
</t>
        </r>
        <r>
          <rPr>
            <b/>
            <sz val="9"/>
            <color indexed="81"/>
            <rFont val="Tahoma"/>
            <family val="2"/>
          </rPr>
          <t>Limited Use Policy</t>
        </r>
        <r>
          <rPr>
            <sz val="9"/>
            <color indexed="81"/>
            <rFont val="Tahoma"/>
            <family val="2"/>
          </rPr>
          <t xml:space="preserve">
You must treat this software and documentation like any other copyrighted material.
</t>
        </r>
        <r>
          <rPr>
            <b/>
            <sz val="9"/>
            <color indexed="81"/>
            <rFont val="Tahoma"/>
            <family val="2"/>
          </rPr>
          <t>You may not:</t>
        </r>
        <r>
          <rPr>
            <sz val="9"/>
            <color indexed="81"/>
            <rFont val="Tahoma"/>
            <family val="2"/>
          </rPr>
          <t xml:space="preserve">
- Copy documentation of the software
- Copy this software except to make archival or backup copies
- Reverse engineer, disassemble, decompile or make any attempt to discover the source code of the Software 
- Place the software onto a server so that it is accessible via a public network such as the internet 
- Sublicense, rent, lease or lend any portion of the software or documentation.
Texas Instruments is not responsible for the validity of any design created with this software and urges all designs to be fully tested and carefully verified. Refer to the LM5165 product datasheet and EVM user guides for more details.
</t>
        </r>
        <r>
          <rPr>
            <b/>
            <sz val="9"/>
            <color indexed="81"/>
            <rFont val="Tahoma"/>
            <family val="2"/>
          </rPr>
          <t>Rev. 1, Timothy Hegarty, Texas Instruments, Inc.</t>
        </r>
      </text>
    </comment>
  </commentList>
</comments>
</file>

<file path=xl/sharedStrings.xml><?xml version="1.0" encoding="utf-8"?>
<sst xmlns="http://schemas.openxmlformats.org/spreadsheetml/2006/main" count="1270" uniqueCount="701">
  <si>
    <t>V</t>
  </si>
  <si>
    <t>A</t>
  </si>
  <si>
    <t>kHz</t>
  </si>
  <si>
    <t>Vin</t>
  </si>
  <si>
    <t>Vout</t>
  </si>
  <si>
    <t>Iout</t>
  </si>
  <si>
    <t>Value</t>
  </si>
  <si>
    <t>STD Units</t>
  </si>
  <si>
    <t>Hz</t>
  </si>
  <si>
    <t>Notes</t>
  </si>
  <si>
    <t>Nominal input voltage</t>
  </si>
  <si>
    <t>H</t>
  </si>
  <si>
    <t>Coutmin</t>
  </si>
  <si>
    <t>F</t>
  </si>
  <si>
    <t>Cout</t>
  </si>
  <si>
    <t>pF</t>
  </si>
  <si>
    <t>Pi</t>
  </si>
  <si>
    <t>Rfb2</t>
  </si>
  <si>
    <t>Vref</t>
  </si>
  <si>
    <t>Variable Name</t>
  </si>
  <si>
    <t>mΩ</t>
  </si>
  <si>
    <t>kΩ</t>
  </si>
  <si>
    <t>TERMS OF USE</t>
  </si>
  <si>
    <t>Currents</t>
  </si>
  <si>
    <t>IQ</t>
  </si>
  <si>
    <t>Step</t>
  </si>
  <si>
    <t>Design</t>
  </si>
  <si>
    <t>L</t>
  </si>
  <si>
    <t>Cin</t>
  </si>
  <si>
    <t>Components</t>
  </si>
  <si>
    <t>mA</t>
  </si>
  <si>
    <t>nC</t>
  </si>
  <si>
    <t>ns</t>
  </si>
  <si>
    <t>Units</t>
  </si>
  <si>
    <t>Outputs</t>
  </si>
  <si>
    <t>LTc</t>
  </si>
  <si>
    <t>Ta</t>
  </si>
  <si>
    <t>RCinEsr</t>
  </si>
  <si>
    <t>Tr</t>
  </si>
  <si>
    <t>Tf</t>
  </si>
  <si>
    <t>Ambient Temperature</t>
  </si>
  <si>
    <t>Description</t>
  </si>
  <si>
    <t>Input Parameters</t>
  </si>
  <si>
    <t>Input Value</t>
  </si>
  <si>
    <t>Power Dis</t>
  </si>
  <si>
    <t>W</t>
  </si>
  <si>
    <t>Temp rise</t>
  </si>
  <si>
    <t>Efficiency</t>
  </si>
  <si>
    <t>Duty Cycle</t>
  </si>
  <si>
    <t xml:space="preserve">IQ </t>
  </si>
  <si>
    <t>Quiescent Current Of Controller (Not Switching!)</t>
  </si>
  <si>
    <t>s</t>
  </si>
  <si>
    <t>Part Characteristics</t>
  </si>
  <si>
    <t>Rfb2_u</t>
  </si>
  <si>
    <t>CoutEsr</t>
  </si>
  <si>
    <t>Step 5: Input Capacitor</t>
  </si>
  <si>
    <t>nF</t>
  </si>
  <si>
    <t>VIN</t>
  </si>
  <si>
    <t>Icinrms</t>
  </si>
  <si>
    <t>= Input Box</t>
  </si>
  <si>
    <t>Input capacitance</t>
  </si>
  <si>
    <t>Step 1: Operational Specs</t>
  </si>
  <si>
    <t>Step 6: Soft Start</t>
  </si>
  <si>
    <t>ms</t>
  </si>
  <si>
    <t>Tss</t>
  </si>
  <si>
    <t>Iss</t>
  </si>
  <si>
    <t>Css</t>
  </si>
  <si>
    <t>Part Number</t>
  </si>
  <si>
    <t>Capacitors</t>
  </si>
  <si>
    <t>(pF)</t>
  </si>
  <si>
    <t>Standard Result</t>
  </si>
  <si>
    <t>Inputs</t>
  </si>
  <si>
    <t>Css_u</t>
  </si>
  <si>
    <t>Resistors</t>
  </si>
  <si>
    <t>inputs</t>
  </si>
  <si>
    <t>Cb</t>
  </si>
  <si>
    <t>Rs</t>
  </si>
  <si>
    <t xml:space="preserve">                </t>
  </si>
  <si>
    <t xml:space="preserve"> </t>
  </si>
  <si>
    <t>Rc1ea</t>
  </si>
  <si>
    <t>Blank out</t>
  </si>
  <si>
    <t>Input from user =</t>
  </si>
  <si>
    <t>Constant</t>
  </si>
  <si>
    <t>Step 8: Efficiency</t>
  </si>
  <si>
    <t>°C/W</t>
  </si>
  <si>
    <t>SCHEMATIC LABELS</t>
  </si>
  <si>
    <t>OUTPUT CURRENT</t>
  </si>
  <si>
    <t>Current (switching)</t>
  </si>
  <si>
    <t>Qrr Current</t>
  </si>
  <si>
    <t>Diode Current</t>
  </si>
  <si>
    <t>Std Units</t>
  </si>
  <si>
    <t>Total Application Switching IQ</t>
  </si>
  <si>
    <t>GND</t>
  </si>
  <si>
    <t>FB</t>
  </si>
  <si>
    <t>SW</t>
  </si>
  <si>
    <t>CIN</t>
  </si>
  <si>
    <t>µH</t>
  </si>
  <si>
    <t>µF</t>
  </si>
  <si>
    <t>Cinmin</t>
  </si>
  <si>
    <t>CinEsrMax</t>
  </si>
  <si>
    <t>Output =</t>
  </si>
  <si>
    <t>Step 1: Operating Specifications</t>
  </si>
  <si>
    <t>°C</t>
  </si>
  <si>
    <r>
      <t>mV</t>
    </r>
    <r>
      <rPr>
        <vertAlign val="subscript"/>
        <sz val="10"/>
        <rFont val="Arial"/>
        <family val="2"/>
      </rPr>
      <t>pk-pk</t>
    </r>
  </si>
  <si>
    <t xml:space="preserve">Input Capacitor ESR </t>
  </si>
  <si>
    <t>About</t>
  </si>
  <si>
    <t>xx</t>
  </si>
  <si>
    <t>Max ESR before ripple exceeds Vripple1</t>
  </si>
  <si>
    <t>Chosen ESR</t>
  </si>
  <si>
    <t>Input capacitance series resistance (ESR)</t>
  </si>
  <si>
    <r>
      <t>VIN</t>
    </r>
    <r>
      <rPr>
        <vertAlign val="subscript"/>
        <sz val="10"/>
        <rFont val="Arial"/>
        <family val="2"/>
      </rPr>
      <t>UVLO_ON</t>
    </r>
  </si>
  <si>
    <t>Rising UVLO/EN Threshold</t>
  </si>
  <si>
    <t>Falling UVLO/EN Threshold</t>
  </si>
  <si>
    <t>kΩ</t>
  </si>
  <si>
    <r>
      <t>VIN</t>
    </r>
    <r>
      <rPr>
        <vertAlign val="subscript"/>
        <sz val="10"/>
        <rFont val="Arial"/>
        <family val="2"/>
      </rPr>
      <t>UVLO_ON_ACTUAL</t>
    </r>
  </si>
  <si>
    <r>
      <t>VIN</t>
    </r>
    <r>
      <rPr>
        <vertAlign val="subscript"/>
        <sz val="10"/>
        <rFont val="Arial"/>
        <family val="2"/>
      </rPr>
      <t>UVLO_OFF_ACTUAL</t>
    </r>
  </si>
  <si>
    <t>Size</t>
  </si>
  <si>
    <t>MFR</t>
  </si>
  <si>
    <t>Std</t>
  </si>
  <si>
    <t>0603</t>
  </si>
  <si>
    <r>
      <t>C</t>
    </r>
    <r>
      <rPr>
        <vertAlign val="subscript"/>
        <sz val="10"/>
        <rFont val="Arial"/>
        <family val="2"/>
      </rPr>
      <t>IN</t>
    </r>
  </si>
  <si>
    <r>
      <t>C</t>
    </r>
    <r>
      <rPr>
        <vertAlign val="subscript"/>
        <sz val="10"/>
        <rFont val="Arial"/>
        <family val="2"/>
      </rPr>
      <t>OUT</t>
    </r>
  </si>
  <si>
    <t>Ref Des</t>
  </si>
  <si>
    <t>Count</t>
  </si>
  <si>
    <t>Various</t>
  </si>
  <si>
    <t>-</t>
  </si>
  <si>
    <r>
      <t>R</t>
    </r>
    <r>
      <rPr>
        <vertAlign val="subscript"/>
        <sz val="10"/>
        <rFont val="Arial"/>
        <family val="2"/>
      </rPr>
      <t>UV1</t>
    </r>
  </si>
  <si>
    <r>
      <t>R</t>
    </r>
    <r>
      <rPr>
        <vertAlign val="subscript"/>
        <sz val="10"/>
        <rFont val="Arial"/>
        <family val="2"/>
      </rPr>
      <t>UV2</t>
    </r>
  </si>
  <si>
    <r>
      <t>U</t>
    </r>
    <r>
      <rPr>
        <b/>
        <vertAlign val="subscript"/>
        <sz val="10"/>
        <rFont val="Arial"/>
        <family val="2"/>
      </rPr>
      <t>1</t>
    </r>
  </si>
  <si>
    <t>Rpgood</t>
  </si>
  <si>
    <t>Ruv1</t>
  </si>
  <si>
    <t>Ruv2</t>
  </si>
  <si>
    <t># of input caps</t>
  </si>
  <si>
    <t>Capacitance per component (Cin)</t>
  </si>
  <si>
    <t>Capacitance per component (Cout)</t>
  </si>
  <si>
    <t># of output caps</t>
  </si>
  <si>
    <t>Ω</t>
  </si>
  <si>
    <r>
      <rPr>
        <b/>
        <u/>
        <sz val="10"/>
        <rFont val="Arial"/>
        <family val="2"/>
      </rPr>
      <t>NOTES</t>
    </r>
    <r>
      <rPr>
        <b/>
        <sz val="10"/>
        <rFont val="Arial"/>
        <family val="2"/>
      </rPr>
      <t>:</t>
    </r>
  </si>
  <si>
    <t>%/°C</t>
  </si>
  <si>
    <t>Rt</t>
  </si>
  <si>
    <r>
      <t>Output Capacitance, C</t>
    </r>
    <r>
      <rPr>
        <b/>
        <vertAlign val="subscript"/>
        <sz val="10"/>
        <rFont val="Arial"/>
        <family val="2"/>
      </rPr>
      <t>OUT</t>
    </r>
    <r>
      <rPr>
        <b/>
        <sz val="10"/>
        <rFont val="Arial"/>
        <family val="2"/>
      </rPr>
      <t xml:space="preserve"> </t>
    </r>
  </si>
  <si>
    <r>
      <t>Input Capacitance, C</t>
    </r>
    <r>
      <rPr>
        <b/>
        <vertAlign val="subscript"/>
        <sz val="10"/>
        <color theme="1"/>
        <rFont val="Arial"/>
        <family val="2"/>
      </rPr>
      <t>IN</t>
    </r>
    <r>
      <rPr>
        <b/>
        <sz val="10"/>
        <color theme="1"/>
        <rFont val="Arial"/>
        <family val="2"/>
      </rPr>
      <t xml:space="preserve"> </t>
    </r>
  </si>
  <si>
    <r>
      <t>Soft-Start Capacitance, C</t>
    </r>
    <r>
      <rPr>
        <vertAlign val="subscript"/>
        <sz val="10"/>
        <rFont val="Arial"/>
        <family val="2"/>
      </rPr>
      <t>SS</t>
    </r>
    <r>
      <rPr>
        <sz val="10"/>
        <rFont val="Arial"/>
        <family val="2"/>
      </rPr>
      <t xml:space="preserve"> </t>
    </r>
  </si>
  <si>
    <t>VIN_nom</t>
  </si>
  <si>
    <t>VIN_max</t>
  </si>
  <si>
    <t>VIN_min</t>
  </si>
  <si>
    <t>Minimum input voltage</t>
  </si>
  <si>
    <t>Maximum input voltage</t>
  </si>
  <si>
    <t>Voltage Hysteresis</t>
  </si>
  <si>
    <t>mV</t>
  </si>
  <si>
    <t>Don_Vinmin</t>
  </si>
  <si>
    <t>Don_Vinmax</t>
  </si>
  <si>
    <t>Lf</t>
  </si>
  <si>
    <t>Pout</t>
  </si>
  <si>
    <t>Iin_Vinmin</t>
  </si>
  <si>
    <t>Iin_Vinnom</t>
  </si>
  <si>
    <t>Iin_Vinmax</t>
  </si>
  <si>
    <t>Pin</t>
  </si>
  <si>
    <t>Don_Vinnom</t>
  </si>
  <si>
    <t>Output power</t>
  </si>
  <si>
    <t>Input currents at min, nom, max Vin</t>
  </si>
  <si>
    <t>Cslope_ideal</t>
  </si>
  <si>
    <t>mΩ</t>
  </si>
  <si>
    <t>Rshunt</t>
  </si>
  <si>
    <t>Output Cap RMS current</t>
  </si>
  <si>
    <t>Icoutrms_VINmin</t>
  </si>
  <si>
    <t>Icoutrms_VINnom</t>
  </si>
  <si>
    <t>Icoutrms_VINmax</t>
  </si>
  <si>
    <t>Chosen Output Capacitance</t>
  </si>
  <si>
    <t>Rout</t>
  </si>
  <si>
    <t>Load resistance</t>
  </si>
  <si>
    <t>p</t>
  </si>
  <si>
    <t>EXCEL Variables Names/Calculations</t>
  </si>
  <si>
    <t>IC Power Disipation</t>
  </si>
  <si>
    <t>Iteration</t>
  </si>
  <si>
    <t>Output Ripple Spec (pk-pk)</t>
  </si>
  <si>
    <t>Estimate of efficiency</t>
  </si>
  <si>
    <t>Soft-start time</t>
  </si>
  <si>
    <r>
      <rPr>
        <sz val="10"/>
        <rFont val="Calibri"/>
        <family val="2"/>
      </rPr>
      <t>θ</t>
    </r>
    <r>
      <rPr>
        <vertAlign val="subscript"/>
        <sz val="10"/>
        <rFont val="Arial"/>
        <family val="2"/>
      </rPr>
      <t>CA</t>
    </r>
  </si>
  <si>
    <t>Input Capacitor ESR</t>
  </si>
  <si>
    <t>RESULTS</t>
  </si>
  <si>
    <t>Reported Cinmin</t>
  </si>
  <si>
    <t>Reported Cout ESR max</t>
  </si>
  <si>
    <t>Reported Cin ESR max</t>
  </si>
  <si>
    <t>Full-load efficiency</t>
  </si>
  <si>
    <t>sec</t>
  </si>
  <si>
    <t>Toff_Vinmax</t>
  </si>
  <si>
    <t>Ton_Vinmin</t>
  </si>
  <si>
    <t>VIN range</t>
  </si>
  <si>
    <t>Current Limit</t>
  </si>
  <si>
    <t>Miscellaneous</t>
  </si>
  <si>
    <t>Inductor</t>
  </si>
  <si>
    <t xml:space="preserve">High-side MOSFET Losses </t>
  </si>
  <si>
    <t xml:space="preserve">Low-side MOSFET Losses </t>
  </si>
  <si>
    <t>Diode</t>
  </si>
  <si>
    <t>Iout (A)</t>
  </si>
  <si>
    <t>Ripple Current pk-pk (A)</t>
  </si>
  <si>
    <t>Off Time (sec)</t>
  </si>
  <si>
    <t>Switching Frequency (Hz)</t>
  </si>
  <si>
    <t>Active Mode Duration (sec)</t>
  </si>
  <si>
    <t>Sleep Mode Duration (sec)</t>
  </si>
  <si>
    <t>Irms (A)</t>
  </si>
  <si>
    <t>Inductor DCR Loss @ 25°C (W)</t>
  </si>
  <si>
    <t>Inductor Core Loss  (W)</t>
  </si>
  <si>
    <t>Total Inductor Loss (W)</t>
  </si>
  <si>
    <t>Cout ESR Loss (W)</t>
  </si>
  <si>
    <t>Total Cout Loss (W)</t>
  </si>
  <si>
    <t>Cin ESR Loss (W)</t>
  </si>
  <si>
    <t>Total Cin Loss (W)</t>
  </si>
  <si>
    <t>Rdson HS Loss @ 25°C (W)</t>
  </si>
  <si>
    <t xml:space="preserve">HS Gate Qg Loss (W)     </t>
  </si>
  <si>
    <t>HS Switching  Loss (W)</t>
  </si>
  <si>
    <t>Coss Loss (W)</t>
  </si>
  <si>
    <t>Total HS FET Loss (W)</t>
  </si>
  <si>
    <t>Rdson LS Loss @ 25°C (W)</t>
  </si>
  <si>
    <t>LS Gate Qg Loss (W)</t>
  </si>
  <si>
    <t>Reverse Recovery &amp; Leakage Losses</t>
  </si>
  <si>
    <t>DeadTime Loss @ 25°C (W)</t>
  </si>
  <si>
    <t>Total LS FET Loss (W)</t>
  </si>
  <si>
    <t>Quiescent Loss (W)</t>
  </si>
  <si>
    <t>LDO + Quiescent Loss (W)</t>
  </si>
  <si>
    <t>Total Gate Drive Loss (W)</t>
  </si>
  <si>
    <t>Total Power Loss in IC (W)</t>
  </si>
  <si>
    <t>Total Converter Power Loss (W)</t>
  </si>
  <si>
    <t>Pout (W)</t>
  </si>
  <si>
    <t>EFF (%)</t>
  </si>
  <si>
    <t>High-side MOSFET Rdson %</t>
  </si>
  <si>
    <t>Low-side MOSFET Rdson %</t>
  </si>
  <si>
    <t>Gate Drive (Qg) Loss from Vin %</t>
  </si>
  <si>
    <t>High-side MOSFET Switching Loss %</t>
  </si>
  <si>
    <t>Reverse Recovery &amp; Leakage Loss %</t>
  </si>
  <si>
    <t>Deadtime Loss %</t>
  </si>
  <si>
    <t>Inductor Cu Loss %</t>
  </si>
  <si>
    <t>Inductor Core Loss %</t>
  </si>
  <si>
    <t>Cin Cout ESR %</t>
  </si>
  <si>
    <t>Quiescent Current Loss %</t>
  </si>
  <si>
    <t>Total Loss %</t>
  </si>
  <si>
    <t>Overall Eff</t>
  </si>
  <si>
    <t>Current (mA)</t>
  </si>
  <si>
    <t>Keep for "previous" data series</t>
  </si>
  <si>
    <t>Frequency (kHz)</t>
  </si>
  <si>
    <t>Coss</t>
  </si>
  <si>
    <t>Iout(max)</t>
  </si>
  <si>
    <r>
      <rPr>
        <sz val="10"/>
        <rFont val="Arial"/>
        <family val="2"/>
      </rPr>
      <t>k</t>
    </r>
    <r>
      <rPr>
        <sz val="10"/>
        <rFont val="Symbol"/>
        <family val="1"/>
        <charset val="2"/>
      </rPr>
      <t>W</t>
    </r>
  </si>
  <si>
    <t>Tamb</t>
  </si>
  <si>
    <t>Ambient temperature</t>
  </si>
  <si>
    <t>VDD</t>
  </si>
  <si>
    <t>On-Time</t>
  </si>
  <si>
    <t>µs</t>
  </si>
  <si>
    <t>On Time - fixed</t>
  </si>
  <si>
    <t>Off Time</t>
  </si>
  <si>
    <t>Off Time - depends on Vout, L, Iout, DCR, etc.</t>
  </si>
  <si>
    <r>
      <rPr>
        <sz val="10"/>
        <rFont val="Symbol"/>
        <family val="1"/>
        <charset val="2"/>
      </rPr>
      <t>D</t>
    </r>
    <r>
      <rPr>
        <sz val="10"/>
        <rFont val="Arial"/>
        <family val="2"/>
      </rPr>
      <t>I</t>
    </r>
    <r>
      <rPr>
        <vertAlign val="subscript"/>
        <sz val="10"/>
        <rFont val="Arial"/>
        <family val="2"/>
      </rPr>
      <t>L</t>
    </r>
  </si>
  <si>
    <t>Inductor pk-pk ripple current in CCM</t>
  </si>
  <si>
    <t>CCM Freq</t>
  </si>
  <si>
    <t>Frequency in CCM</t>
  </si>
  <si>
    <t>Switch rise time</t>
  </si>
  <si>
    <t>Switch fall time</t>
  </si>
  <si>
    <t>Filter inductance</t>
  </si>
  <si>
    <r>
      <rPr>
        <sz val="10"/>
        <rFont val="Arial"/>
        <family val="2"/>
      </rPr>
      <t>m</t>
    </r>
    <r>
      <rPr>
        <sz val="10"/>
        <rFont val="Symbol"/>
        <family val="1"/>
        <charset val="2"/>
      </rPr>
      <t>W</t>
    </r>
  </si>
  <si>
    <t>Kcore</t>
  </si>
  <si>
    <t>RCinESR</t>
  </si>
  <si>
    <t>Input capacitor ESR</t>
  </si>
  <si>
    <t>Output capacitance</t>
  </si>
  <si>
    <t>RCoutESR</t>
  </si>
  <si>
    <t>Output capacitor ESR</t>
  </si>
  <si>
    <t>µA</t>
  </si>
  <si>
    <t>FOM</t>
  </si>
  <si>
    <r>
      <t>m</t>
    </r>
    <r>
      <rPr>
        <sz val="10"/>
        <rFont val="Times New Roman"/>
        <family val="1"/>
      </rPr>
      <t>Ω*</t>
    </r>
    <r>
      <rPr>
        <sz val="10"/>
        <rFont val="Arial"/>
        <family val="2"/>
      </rPr>
      <t>nC</t>
    </r>
  </si>
  <si>
    <t>BDserR</t>
  </si>
  <si>
    <t>Series resistance of body diode</t>
  </si>
  <si>
    <t>Reverse recovery charge of body diode at 100mA</t>
  </si>
  <si>
    <t>Reverse recovery time of body diode (not used)</t>
  </si>
  <si>
    <t>μA</t>
  </si>
  <si>
    <t>Leakage current of low-side device</t>
  </si>
  <si>
    <t>Eff (%)</t>
  </si>
  <si>
    <t>Iout (mA)</t>
  </si>
  <si>
    <t>min_I</t>
  </si>
  <si>
    <t>max_I</t>
  </si>
  <si>
    <t>100mA</t>
  </si>
  <si>
    <t>rr</t>
  </si>
  <si>
    <t>1mA</t>
  </si>
  <si>
    <t>Overall Eff %</t>
  </si>
  <si>
    <t>Total Inductor Loss (mW)</t>
  </si>
  <si>
    <t>Total Power Loss in IC (mW)</t>
  </si>
  <si>
    <t>LDO + Quiescent Loss (mW)</t>
  </si>
  <si>
    <t>Vdd</t>
  </si>
  <si>
    <t>MODE</t>
  </si>
  <si>
    <t>MODE_ILIM</t>
  </si>
  <si>
    <t>MODE_SS</t>
  </si>
  <si>
    <t>COT / PFM Overall Eff</t>
  </si>
  <si>
    <t>COT / PFM Total Inductor Loss (mW)</t>
  </si>
  <si>
    <t>COT / PFM LDO + Quiescent Loss (mW)</t>
  </si>
  <si>
    <t>Soft-Start Configuration</t>
  </si>
  <si>
    <t>mW</t>
  </si>
  <si>
    <r>
      <t>Lower UVLO Resistor, R</t>
    </r>
    <r>
      <rPr>
        <vertAlign val="subscript"/>
        <sz val="10"/>
        <rFont val="Arial"/>
        <family val="2"/>
      </rPr>
      <t>UV2</t>
    </r>
  </si>
  <si>
    <r>
      <t>VIN</t>
    </r>
    <r>
      <rPr>
        <vertAlign val="subscript"/>
        <sz val="10"/>
        <rFont val="Arial"/>
        <family val="2"/>
      </rPr>
      <t>UVLO_OFF</t>
    </r>
  </si>
  <si>
    <t>Rhys</t>
  </si>
  <si>
    <t>Soft Start</t>
  </si>
  <si>
    <t>Step 3: Input &amp; Output Capacitors</t>
  </si>
  <si>
    <t>PLOT_TYPE</t>
  </si>
  <si>
    <t>FB resistor ref des shown or not?</t>
  </si>
  <si>
    <t>SHORT_ILIM</t>
  </si>
  <si>
    <t>ILIM pin shorted if 240mA selected</t>
  </si>
  <si>
    <t>ILIM resistor needed (60/120/180mA)</t>
  </si>
  <si>
    <t>Show Rt resistor ref des?</t>
  </si>
  <si>
    <r>
      <t xml:space="preserve">Estimated Thermal Impedance, </t>
    </r>
    <r>
      <rPr>
        <b/>
        <sz val="11"/>
        <rFont val="Symbol"/>
        <family val="1"/>
        <charset val="2"/>
      </rPr>
      <t>J</t>
    </r>
    <r>
      <rPr>
        <b/>
        <vertAlign val="subscript"/>
        <sz val="10"/>
        <rFont val="Arial"/>
        <family val="2"/>
      </rPr>
      <t>JA</t>
    </r>
  </si>
  <si>
    <t>Input UVLO Configuration</t>
  </si>
  <si>
    <t>MODE_UVLO</t>
  </si>
  <si>
    <t>Adjustable UVLO?</t>
  </si>
  <si>
    <t>Soft-start current</t>
  </si>
  <si>
    <t>10% load efficiency</t>
  </si>
  <si>
    <t>Required soft-start cap</t>
  </si>
  <si>
    <t>User selected SS cap</t>
  </si>
  <si>
    <t>100kΩ</t>
  </si>
  <si>
    <t>1% load efficiency</t>
  </si>
  <si>
    <t>linear scale only</t>
  </si>
  <si>
    <t>log scale only</t>
  </si>
  <si>
    <t xml:space="preserve">Minimum Input Capacitance </t>
  </si>
  <si>
    <t>Terms Of Use</t>
  </si>
  <si>
    <r>
      <rPr>
        <b/>
        <sz val="10"/>
        <rFont val="Arial"/>
        <family val="2"/>
      </rPr>
      <t>Iout</t>
    </r>
    <r>
      <rPr>
        <sz val="10"/>
        <rFont val="Arial"/>
        <family val="2"/>
      </rPr>
      <t xml:space="preserve"> Linear Axis</t>
    </r>
  </si>
  <si>
    <r>
      <rPr>
        <b/>
        <sz val="10"/>
        <rFont val="Arial"/>
        <family val="2"/>
      </rPr>
      <t>Iout</t>
    </r>
    <r>
      <rPr>
        <sz val="10"/>
        <rFont val="Arial"/>
        <family val="2"/>
      </rPr>
      <t xml:space="preserve"> Log Axis</t>
    </r>
  </si>
  <si>
    <t>UVLO</t>
  </si>
  <si>
    <t>n</t>
  </si>
  <si>
    <r>
      <t>Pk-to-Pk Ripple Current at V</t>
    </r>
    <r>
      <rPr>
        <vertAlign val="subscript"/>
        <sz val="10"/>
        <rFont val="Arial"/>
        <family val="2"/>
      </rPr>
      <t>IN(nom)</t>
    </r>
    <r>
      <rPr>
        <sz val="10"/>
        <rFont val="Arial"/>
        <family val="2"/>
      </rPr>
      <t xml:space="preserve">, </t>
    </r>
    <r>
      <rPr>
        <sz val="10"/>
        <rFont val="Symbol"/>
        <family val="1"/>
        <charset val="2"/>
      </rPr>
      <t>D</t>
    </r>
    <r>
      <rPr>
        <sz val="10"/>
        <rFont val="Arial"/>
        <family val="2"/>
      </rPr>
      <t>IL</t>
    </r>
  </si>
  <si>
    <t>SW Fall Time (ns)</t>
  </si>
  <si>
    <t>Peak Current (A)</t>
  </si>
  <si>
    <t>Valley Current (A)</t>
  </si>
  <si>
    <t>SW Rise Time (ns)</t>
  </si>
  <si>
    <t>Csw</t>
  </si>
  <si>
    <t>Capacitance (Coss)</t>
  </si>
  <si>
    <t>Operating Quiescent Current (A)</t>
  </si>
  <si>
    <t>6.3V</t>
  </si>
  <si>
    <t>10V</t>
  </si>
  <si>
    <t>16V</t>
  </si>
  <si>
    <t>25V</t>
  </si>
  <si>
    <t>Cout Voltage Rating</t>
  </si>
  <si>
    <t>Vout&lt;=5V</t>
  </si>
  <si>
    <t>Vout&lt;=20V</t>
  </si>
  <si>
    <t>Vout&lt;=8V</t>
  </si>
  <si>
    <t>Vout&lt;=12V</t>
  </si>
  <si>
    <t>50V</t>
  </si>
  <si>
    <t>Vout&gt;20V</t>
  </si>
  <si>
    <t>BOM display</t>
  </si>
  <si>
    <t>COT / PFM Total Power Loss in IC (mW)</t>
  </si>
  <si>
    <t>0402</t>
  </si>
  <si>
    <t>0805</t>
  </si>
  <si>
    <t>1206</t>
  </si>
  <si>
    <t>1210</t>
  </si>
  <si>
    <t>Component Size</t>
  </si>
  <si>
    <t>Footprint (mm)</t>
  </si>
  <si>
    <t>1.0 x 0.5</t>
  </si>
  <si>
    <t>6mm x 6mm</t>
  </si>
  <si>
    <t>7mm x 7mm</t>
  </si>
  <si>
    <t>3.2 x 1.6</t>
  </si>
  <si>
    <t>1.6 x 0.8</t>
  </si>
  <si>
    <t>2.0 x 1.25</t>
  </si>
  <si>
    <t>3.2 x 2.5</t>
  </si>
  <si>
    <t>4.0 x 4.0</t>
  </si>
  <si>
    <r>
      <t>Area (mm</t>
    </r>
    <r>
      <rPr>
        <b/>
        <vertAlign val="superscript"/>
        <sz val="10"/>
        <color theme="0"/>
        <rFont val="Arial"/>
        <family val="2"/>
      </rPr>
      <t>2</t>
    </r>
    <r>
      <rPr>
        <b/>
        <sz val="10"/>
        <color theme="0"/>
        <rFont val="Arial"/>
        <family val="2"/>
      </rPr>
      <t>)</t>
    </r>
  </si>
  <si>
    <t>TI</t>
  </si>
  <si>
    <r>
      <t>in</t>
    </r>
    <r>
      <rPr>
        <b/>
        <vertAlign val="superscript"/>
        <sz val="12"/>
        <color rgb="FFFF0000"/>
        <rFont val="Arial"/>
        <family val="2"/>
      </rPr>
      <t>2</t>
    </r>
  </si>
  <si>
    <t>Total Solution Size (buffered by 25%)</t>
  </si>
  <si>
    <t>** Appropriately derate effective input and output capacitances for applied voltage and temperature, particularly with ceramics **</t>
  </si>
  <si>
    <r>
      <t>mm</t>
    </r>
    <r>
      <rPr>
        <b/>
        <vertAlign val="superscript"/>
        <sz val="12"/>
        <color rgb="FFFF0000"/>
        <rFont val="Arial"/>
        <family val="2"/>
      </rPr>
      <t>2</t>
    </r>
    <r>
      <rPr>
        <b/>
        <sz val="12"/>
        <color rgb="FFFF0000"/>
        <rFont val="Arial"/>
        <family val="2"/>
      </rPr>
      <t xml:space="preserve">  =</t>
    </r>
  </si>
  <si>
    <t>Std Value Lower Feedback Resistance</t>
  </si>
  <si>
    <t>Step 2: Flyback Transformer</t>
  </si>
  <si>
    <t>SINGLE/DUAL OUTPUT</t>
  </si>
  <si>
    <t>SINGLE</t>
  </si>
  <si>
    <t>DUAL</t>
  </si>
  <si>
    <r>
      <t>LM5180 Power Dissipation at Full Load, P</t>
    </r>
    <r>
      <rPr>
        <vertAlign val="subscript"/>
        <sz val="10"/>
        <rFont val="Arial"/>
        <family val="2"/>
      </rPr>
      <t>D</t>
    </r>
  </si>
  <si>
    <t>YES</t>
  </si>
  <si>
    <t>NO</t>
  </si>
  <si>
    <r>
      <t>Magnetizing Inductance, L</t>
    </r>
    <r>
      <rPr>
        <b/>
        <vertAlign val="subscript"/>
        <sz val="10"/>
        <color theme="1"/>
        <rFont val="Arial"/>
        <family val="2"/>
      </rPr>
      <t>MAG</t>
    </r>
    <r>
      <rPr>
        <b/>
        <sz val="10"/>
        <color theme="1"/>
        <rFont val="Arial"/>
        <family val="2"/>
      </rPr>
      <t xml:space="preserve"> </t>
    </r>
  </si>
  <si>
    <t>Single Output or Dual Outputs</t>
  </si>
  <si>
    <r>
      <t>Input Voltage – Min, V</t>
    </r>
    <r>
      <rPr>
        <b/>
        <vertAlign val="subscript"/>
        <sz val="10"/>
        <color theme="1"/>
        <rFont val="Arial"/>
        <family val="2"/>
      </rPr>
      <t>IN(min)</t>
    </r>
    <r>
      <rPr>
        <b/>
        <sz val="10"/>
        <color theme="1"/>
        <rFont val="Arial"/>
        <family val="2"/>
      </rPr>
      <t xml:space="preserve"> </t>
    </r>
  </si>
  <si>
    <r>
      <t>Input Voltage – Nom, V</t>
    </r>
    <r>
      <rPr>
        <b/>
        <vertAlign val="subscript"/>
        <sz val="10"/>
        <color theme="1"/>
        <rFont val="Arial"/>
        <family val="2"/>
      </rPr>
      <t>IN(nom)</t>
    </r>
  </si>
  <si>
    <r>
      <t>Input Voltage – Max, V</t>
    </r>
    <r>
      <rPr>
        <b/>
        <vertAlign val="subscript"/>
        <sz val="10"/>
        <color theme="1"/>
        <rFont val="Arial"/>
        <family val="2"/>
      </rPr>
      <t>IN(max)</t>
    </r>
  </si>
  <si>
    <r>
      <t>Selected Feedback Resistor, R</t>
    </r>
    <r>
      <rPr>
        <b/>
        <vertAlign val="subscript"/>
        <sz val="10"/>
        <rFont val="Arial"/>
        <family val="2"/>
      </rPr>
      <t>FB</t>
    </r>
  </si>
  <si>
    <t xml:space="preserve">                              LM5180 PSR Flyback Converter Design Tool  </t>
  </si>
  <si>
    <t>Recommended Feedback Resistor</t>
  </si>
  <si>
    <t>Current Hysteresis</t>
  </si>
  <si>
    <t>Current after UVLO (rising)</t>
  </si>
  <si>
    <t>Current before UVLO (rising)</t>
  </si>
  <si>
    <r>
      <t>Upper UVLO Resistor, R</t>
    </r>
    <r>
      <rPr>
        <vertAlign val="subscript"/>
        <sz val="10"/>
        <rFont val="Arial"/>
        <family val="2"/>
      </rPr>
      <t>UV1</t>
    </r>
  </si>
  <si>
    <t>12.1 kΩ</t>
  </si>
  <si>
    <t>Show TC resistor ref des?</t>
  </si>
  <si>
    <t>TC YES/NO</t>
  </si>
  <si>
    <t>MODE_TC</t>
  </si>
  <si>
    <t>Rtc</t>
  </si>
  <si>
    <t>RSET resistor</t>
  </si>
  <si>
    <t>SS Cap</t>
  </si>
  <si>
    <t>mV/°C</t>
  </si>
  <si>
    <t>VOUT Thermal Compensation</t>
  </si>
  <si>
    <r>
      <t>Thermal Compensation Resistor, R</t>
    </r>
    <r>
      <rPr>
        <vertAlign val="subscript"/>
        <sz val="10"/>
        <rFont val="Arial"/>
        <family val="2"/>
      </rPr>
      <t>TC</t>
    </r>
  </si>
  <si>
    <t>Step 4: Feedback, Soft-start, TC, UVLO</t>
  </si>
  <si>
    <t>FB resistor</t>
  </si>
  <si>
    <t>Turns Ratio</t>
  </si>
  <si>
    <t>Rdcr_pri</t>
  </si>
  <si>
    <t>Rfb</t>
  </si>
  <si>
    <r>
      <t>Internal P</t>
    </r>
    <r>
      <rPr>
        <vertAlign val="subscript"/>
        <sz val="10"/>
        <rFont val="Arial"/>
        <family val="2"/>
      </rPr>
      <t>DISS</t>
    </r>
    <r>
      <rPr>
        <sz val="10"/>
        <rFont val="Arial"/>
        <family val="2"/>
      </rPr>
      <t xml:space="preserve"> at Full Load</t>
    </r>
  </si>
  <si>
    <t>Turns_Ratio</t>
  </si>
  <si>
    <t>Transformer Turns Ratio</t>
  </si>
  <si>
    <t>Schematic variable defined:</t>
  </si>
  <si>
    <t>Flyback MOSFET</t>
  </si>
  <si>
    <t>Rdson</t>
  </si>
  <si>
    <t>Qg</t>
  </si>
  <si>
    <t>Converter</t>
  </si>
  <si>
    <t>Gate charge of MOSFET @ VDD</t>
  </si>
  <si>
    <t>Drain-source resistance of MOSFET @ VDD, 25°C</t>
  </si>
  <si>
    <t>Flyback Diode</t>
  </si>
  <si>
    <t>Peak switch current</t>
  </si>
  <si>
    <t>Isw_max</t>
  </si>
  <si>
    <t>Qrr_Dfly</t>
  </si>
  <si>
    <t>Trr_Dfly</t>
  </si>
  <si>
    <t>Pout-max (W)</t>
  </si>
  <si>
    <t>Iout-max (A)</t>
  </si>
  <si>
    <t>Pout-max (W) at Vin-nom</t>
  </si>
  <si>
    <t>Iout-max (A) at Vin-nom</t>
  </si>
  <si>
    <t>Vsw-max (V) at Vin-nom</t>
  </si>
  <si>
    <t>Isw_min</t>
  </si>
  <si>
    <t>Min peak switch current</t>
  </si>
  <si>
    <t>Efficiency estimate</t>
  </si>
  <si>
    <t>Fsw_max</t>
  </si>
  <si>
    <t>Max Fsw</t>
  </si>
  <si>
    <t>Vin (V)</t>
  </si>
  <si>
    <t>Vsw-max (V)</t>
  </si>
  <si>
    <t>Isw (A)</t>
  </si>
  <si>
    <t>Ton-BCM (us)</t>
  </si>
  <si>
    <t>Toff-BCM (us)</t>
  </si>
  <si>
    <t>Ipri-min-BCM (A)</t>
  </si>
  <si>
    <t>Vout-Reflected (V)</t>
  </si>
  <si>
    <t>Fsw-BCM (kHz) at Iout-max</t>
  </si>
  <si>
    <t>Fsw-max-BCM (kHz)</t>
  </si>
  <si>
    <t>Voltages</t>
  </si>
  <si>
    <t>Toff-min-BCM (us)</t>
  </si>
  <si>
    <t>Iout-min-BCM (A)</t>
  </si>
  <si>
    <t>Toff-FFB (us)</t>
  </si>
  <si>
    <t xml:space="preserve">Fsw-BCM (kHz) </t>
  </si>
  <si>
    <t>Fsw-FFB (kHz)</t>
  </si>
  <si>
    <t>Iout-max-FFB (A)</t>
  </si>
  <si>
    <t>Fsw_DCM</t>
  </si>
  <si>
    <t>Ipri-DCM (A)</t>
  </si>
  <si>
    <t>Ipri (A)</t>
  </si>
  <si>
    <t>COMP (V)</t>
  </si>
  <si>
    <t>Fsw (kHz)</t>
  </si>
  <si>
    <t>Vout-actual (V)</t>
  </si>
  <si>
    <t>VIN-min</t>
  </si>
  <si>
    <t>VIN-max</t>
  </si>
  <si>
    <t>Vout_ripple</t>
  </si>
  <si>
    <t>Actual Output Ripple</t>
  </si>
  <si>
    <t>Ton at Full Load, Vin-nom</t>
  </si>
  <si>
    <t>Input voltage ripple spec (pk-pk) at Vin(nom) = 5%</t>
  </si>
  <si>
    <t>Input voltage ripple - Vinripple2</t>
  </si>
  <si>
    <t>Input current, full load, Vin(nom)</t>
  </si>
  <si>
    <t>Toff, Vin(nom)</t>
  </si>
  <si>
    <t>mVpk-pk</t>
  </si>
  <si>
    <t>Vpk-pk</t>
  </si>
  <si>
    <t>Peak primary current, full load, Vin(nom)</t>
  </si>
  <si>
    <t>Vinripple2</t>
  </si>
  <si>
    <t>Nps</t>
  </si>
  <si>
    <t>Rdcr_sec</t>
  </si>
  <si>
    <t>Rdcr_sec2</t>
  </si>
  <si>
    <t>Primary winding DCR</t>
  </si>
  <si>
    <t>Secondary winding DCR</t>
  </si>
  <si>
    <t>Chosen mag inductance</t>
  </si>
  <si>
    <t>Transformer Size</t>
  </si>
  <si>
    <t>1% Vout ripple spec</t>
  </si>
  <si>
    <t>Calculate input power assuming initial efficiency estimate</t>
  </si>
  <si>
    <t>Ipri-rms (A)</t>
  </si>
  <si>
    <t>Isec-rms (A)</t>
  </si>
  <si>
    <t>PCu-pri (W)</t>
  </si>
  <si>
    <t>PCu-sec (W)</t>
  </si>
  <si>
    <t>On/Off Times and Eff Duty Cycle</t>
  </si>
  <si>
    <t>Ton (µs)</t>
  </si>
  <si>
    <t>Toff (µs)</t>
  </si>
  <si>
    <t>Toff-FFB (µs)</t>
  </si>
  <si>
    <t>Toff-min-BCM (µs)</t>
  </si>
  <si>
    <t>Toff-BCM (µs)</t>
  </si>
  <si>
    <t>Ton-BCM (µs)</t>
  </si>
  <si>
    <t>Tsw (µs)</t>
  </si>
  <si>
    <t>Core Loss (W)</t>
  </si>
  <si>
    <t>P-FET-Coss (W)</t>
  </si>
  <si>
    <t>Cin / Cout</t>
  </si>
  <si>
    <t>RMS Currents</t>
  </si>
  <si>
    <t>Effective SW node capacitance (Ctr + Cdiode_refl)</t>
  </si>
  <si>
    <t>P-FET-Qg (W)</t>
  </si>
  <si>
    <t>P-FET-Cond (W)</t>
  </si>
  <si>
    <t>P-FET-Sw (W)</t>
  </si>
  <si>
    <t>P-Diode-Cond (W)</t>
  </si>
  <si>
    <t>P-Diode-Leak (W)</t>
  </si>
  <si>
    <r>
      <t>P-I</t>
    </r>
    <r>
      <rPr>
        <b/>
        <vertAlign val="subscript"/>
        <sz val="10"/>
        <rFont val="Arial"/>
        <family val="2"/>
      </rPr>
      <t>Q</t>
    </r>
    <r>
      <rPr>
        <b/>
        <sz val="10"/>
        <rFont val="Arial"/>
        <family val="2"/>
      </rPr>
      <t xml:space="preserve"> (W)</t>
    </r>
  </si>
  <si>
    <t>Core loss constant - consult transformer vendor</t>
  </si>
  <si>
    <t>Transformer primary winding DCR at 25°C</t>
  </si>
  <si>
    <t>LM5180 quiescent current</t>
  </si>
  <si>
    <t>Cout (µF) for 1% ripple</t>
  </si>
  <si>
    <t>Cin (µF) for 10% ripple</t>
  </si>
  <si>
    <t>P-Loss-Total (W)</t>
  </si>
  <si>
    <t>P-Diode-Snubber (W)</t>
  </si>
  <si>
    <t>P-LeakL-Clamp/Snub (W)</t>
  </si>
  <si>
    <t>Efficiency (%)</t>
  </si>
  <si>
    <t>P-Trans-Total (W)</t>
  </si>
  <si>
    <t>P-Diode-Total (W)</t>
  </si>
  <si>
    <t>I_LEAK</t>
  </si>
  <si>
    <t>Flyback Diode Loss</t>
  </si>
  <si>
    <t>Transformer Loss</t>
  </si>
  <si>
    <t>P-IC-Total (mW)</t>
  </si>
  <si>
    <t>Half-load efficiency</t>
  </si>
  <si>
    <t>IC Loss</t>
  </si>
  <si>
    <t>Nps1</t>
  </si>
  <si>
    <t>Nps2</t>
  </si>
  <si>
    <t>Step 5: Power Losses &amp; Thermals</t>
  </si>
  <si>
    <t xml:space="preserve">Resulting Input Voltage Ripple </t>
  </si>
  <si>
    <t>Check Iout-max</t>
  </si>
  <si>
    <t>Iout2</t>
  </si>
  <si>
    <t>Rout2</t>
  </si>
  <si>
    <t>Pout2</t>
  </si>
  <si>
    <t>Load resistance #2</t>
  </si>
  <si>
    <t>Output power #2</t>
  </si>
  <si>
    <t xml:space="preserve">Total Output Power </t>
  </si>
  <si>
    <t>Total power</t>
  </si>
  <si>
    <t>LM5180 Parameters</t>
  </si>
  <si>
    <r>
      <t>Ambient Temperature, T</t>
    </r>
    <r>
      <rPr>
        <b/>
        <vertAlign val="subscript"/>
        <sz val="10"/>
        <rFont val="Arial"/>
        <family val="2"/>
      </rPr>
      <t>A</t>
    </r>
  </si>
  <si>
    <t>BIPOLAR</t>
  </si>
  <si>
    <t>Vinripple1 - Input ripple spec</t>
  </si>
  <si>
    <t>OUTPUT CURRENT #2 - BIPOLAR</t>
  </si>
  <si>
    <t>OUTPUT CURRENT #2 - DUAL</t>
  </si>
  <si>
    <t>Output Cap(s)</t>
  </si>
  <si>
    <t>Input Cap(s)</t>
  </si>
  <si>
    <t>Diode Ref Des</t>
  </si>
  <si>
    <r>
      <t>D</t>
    </r>
    <r>
      <rPr>
        <vertAlign val="subscript"/>
        <sz val="10"/>
        <rFont val="Arial"/>
        <family val="2"/>
      </rPr>
      <t>FLY1</t>
    </r>
  </si>
  <si>
    <t>Cin (µF) for 5% ripple</t>
  </si>
  <si>
    <t>Calculations are performed at Vin(nom), Vin(min) and Vin(max) below</t>
  </si>
  <si>
    <r>
      <t>R</t>
    </r>
    <r>
      <rPr>
        <vertAlign val="subscript"/>
        <sz val="10"/>
        <rFont val="Arial"/>
        <family val="2"/>
      </rPr>
      <t>TC</t>
    </r>
  </si>
  <si>
    <t>Feedback Resistance - chosen by user</t>
  </si>
  <si>
    <t>Step 8: FB and TC Resistors</t>
  </si>
  <si>
    <t>Selected Rfb</t>
  </si>
  <si>
    <t>Feedback Resistance - recommneded to user</t>
  </si>
  <si>
    <t>Diode TC</t>
  </si>
  <si>
    <t>Standard Value RTC</t>
  </si>
  <si>
    <t>LM5180</t>
  </si>
  <si>
    <r>
      <t>IC, LM5180, PSR Flyback Converter, 4.5V</t>
    </r>
    <r>
      <rPr>
        <b/>
        <sz val="10"/>
        <rFont val="Calibri"/>
        <family val="2"/>
      </rPr>
      <t>–</t>
    </r>
    <r>
      <rPr>
        <b/>
        <sz val="10"/>
        <rFont val="Arial"/>
        <family val="2"/>
      </rPr>
      <t>70V Input</t>
    </r>
  </si>
  <si>
    <t>WSON-8</t>
  </si>
  <si>
    <r>
      <t>Low I</t>
    </r>
    <r>
      <rPr>
        <b/>
        <vertAlign val="subscript"/>
        <sz val="16"/>
        <rFont val="Arial"/>
        <family val="2"/>
      </rPr>
      <t>Q</t>
    </r>
    <r>
      <rPr>
        <b/>
        <sz val="16"/>
        <rFont val="Arial"/>
        <family val="2"/>
      </rPr>
      <t>, High Efficiency, PSR Flyback Converter BOM</t>
    </r>
  </si>
  <si>
    <t>* Choose a transformer with saturation current rating higher than the peak current limit setting (1.35A) for all operating temperatures *</t>
  </si>
  <si>
    <r>
      <t>T</t>
    </r>
    <r>
      <rPr>
        <vertAlign val="subscript"/>
        <sz val="10"/>
        <rFont val="Arial"/>
        <family val="2"/>
      </rPr>
      <t>1</t>
    </r>
  </si>
  <si>
    <r>
      <t>R</t>
    </r>
    <r>
      <rPr>
        <vertAlign val="subscript"/>
        <sz val="10"/>
        <rFont val="Arial"/>
        <family val="2"/>
      </rPr>
      <t>FB</t>
    </r>
  </si>
  <si>
    <r>
      <t>LM5180 Junction Temperature at Full Load, T</t>
    </r>
    <r>
      <rPr>
        <vertAlign val="subscript"/>
        <sz val="10"/>
        <rFont val="Arial"/>
        <family val="2"/>
      </rPr>
      <t>J</t>
    </r>
  </si>
  <si>
    <t>Primary Winding DCR</t>
  </si>
  <si>
    <t>FUNCTIONAL</t>
  </si>
  <si>
    <t>BASIC</t>
  </si>
  <si>
    <t>REINFORCED</t>
  </si>
  <si>
    <t>Isolation Grade</t>
  </si>
  <si>
    <t>Output #1</t>
  </si>
  <si>
    <t>Output #2</t>
  </si>
  <si>
    <t>12.1kΩ</t>
  </si>
  <si>
    <r>
      <t>Output Capacitance, C</t>
    </r>
    <r>
      <rPr>
        <b/>
        <vertAlign val="subscript"/>
        <sz val="10"/>
        <rFont val="Arial"/>
        <family val="2"/>
      </rPr>
      <t>OUT2</t>
    </r>
    <r>
      <rPr>
        <b/>
        <sz val="10"/>
        <rFont val="Arial"/>
        <family val="2"/>
      </rPr>
      <t xml:space="preserve"> </t>
    </r>
  </si>
  <si>
    <t>Output Capacitor ESR</t>
  </si>
  <si>
    <t>Adjustable</t>
  </si>
  <si>
    <t>Internal</t>
  </si>
  <si>
    <t>Primary winding DCR at hot</t>
  </si>
  <si>
    <t>Secondary winding DCR at hot</t>
  </si>
  <si>
    <t>Secondary winding #2 DCR at hot</t>
  </si>
  <si>
    <t>Temp - Hot</t>
  </si>
  <si>
    <t>Secondary winding #2 DCR</t>
  </si>
  <si>
    <t>Output Ripple Spec (pk-pk) #2</t>
  </si>
  <si>
    <t>Cout2</t>
  </si>
  <si>
    <t>Coutmin2</t>
  </si>
  <si>
    <t>Reported Cout ESR max #2</t>
  </si>
  <si>
    <t>CoutEsr2</t>
  </si>
  <si>
    <t>1% Vout2 ripple spec</t>
  </si>
  <si>
    <t>Vout_ripple2</t>
  </si>
  <si>
    <t>Check min Ton and Toff times</t>
  </si>
  <si>
    <t>Transformer DCR Temp Co</t>
  </si>
  <si>
    <t>Transformer Core-to-Ambient Thermal Resistance</t>
  </si>
  <si>
    <r>
      <t>D</t>
    </r>
    <r>
      <rPr>
        <vertAlign val="subscript"/>
        <sz val="10"/>
        <rFont val="Arial"/>
        <family val="2"/>
      </rPr>
      <t>FLY2</t>
    </r>
    <r>
      <rPr>
        <sz val="11"/>
        <color theme="1"/>
        <rFont val="Arial"/>
        <family val="2"/>
      </rPr>
      <t/>
    </r>
  </si>
  <si>
    <t>EN/UVLO</t>
  </si>
  <si>
    <t>SS/BIAS</t>
  </si>
  <si>
    <t>TC</t>
  </si>
  <si>
    <t>RSET</t>
  </si>
  <si>
    <t>Step 7: UVLO Resistors</t>
  </si>
  <si>
    <t>Step 2: Circuit Configuration for Single/Dual Output, Int/Adj UVLO, Int/Adj SS, Yes/No TC</t>
  </si>
  <si>
    <t>Step 3: Flyback Transformer</t>
  </si>
  <si>
    <t>Step 3: Output Capacitor(s)</t>
  </si>
  <si>
    <t>DUAL OUTPUT</t>
  </si>
  <si>
    <t>check Ton for dual output…</t>
  </si>
  <si>
    <t>check Vripple variable name…</t>
  </si>
  <si>
    <t>Output voltage</t>
  </si>
  <si>
    <t>Maximum output current #2</t>
  </si>
  <si>
    <t>Output voltage #2</t>
  </si>
  <si>
    <t>DCM switching frequency</t>
  </si>
  <si>
    <t>Reference voltage</t>
  </si>
  <si>
    <t>Feedback resistor</t>
  </si>
  <si>
    <t>Power dissipation</t>
  </si>
  <si>
    <t>check…</t>
  </si>
  <si>
    <t>Turns_Ratio2</t>
  </si>
  <si>
    <t>Single Output or Dual 1st Output</t>
  </si>
  <si>
    <t>SEC1 to SEC2</t>
  </si>
  <si>
    <t>Nsec1sec2</t>
  </si>
  <si>
    <t>Scale</t>
  </si>
  <si>
    <t>PRI : SEC1 : SEC2</t>
  </si>
  <si>
    <t>Turns Ratio, PRI : SEC2</t>
  </si>
  <si>
    <t>TR primary-secondary2 (dual output) = Np/Nsec2</t>
  </si>
  <si>
    <t>TR sec1-sec2 (dual output) = Nsec1/Nsec2</t>
  </si>
  <si>
    <t>Iout2 (A)</t>
  </si>
  <si>
    <t>Iout1 (A)</t>
  </si>
  <si>
    <t>Pout1 (W)</t>
  </si>
  <si>
    <t>Pout2 (W)</t>
  </si>
  <si>
    <t>Iout1-max (A)</t>
  </si>
  <si>
    <t>Iout2-max (A)</t>
  </si>
  <si>
    <t>Vout1-actual (V)</t>
  </si>
  <si>
    <t>Vout1-Reflected (V)</t>
  </si>
  <si>
    <t>Iout1-min-BCM (A)</t>
  </si>
  <si>
    <t>Iout1-max-FFB (A)</t>
  </si>
  <si>
    <t>Turns Ratio, SEC1 : SEC2</t>
  </si>
  <si>
    <t>Pout1-max (W)</t>
  </si>
  <si>
    <t>Cout1 (µF) for 1% ripple</t>
  </si>
  <si>
    <t>Cout2 (µF) for 1% ripple</t>
  </si>
  <si>
    <t>Min 1uF</t>
  </si>
  <si>
    <t>Vripple1_spec</t>
  </si>
  <si>
    <t>Vripple2_actual</t>
  </si>
  <si>
    <t>Vripple1_actual</t>
  </si>
  <si>
    <t>Vripple2_spec</t>
  </si>
  <si>
    <t>Isec2-rms (A)</t>
  </si>
  <si>
    <t>Isec1-rms (A)</t>
  </si>
  <si>
    <t>P-Diode2-Cond (W)</t>
  </si>
  <si>
    <t>P-Diode1-Cond (W)</t>
  </si>
  <si>
    <t>PCu-sec2 (W)</t>
  </si>
  <si>
    <t>PCu-sec1 (W)</t>
  </si>
  <si>
    <t>Iout1 (%)</t>
  </si>
  <si>
    <r>
      <t>Max Output Power at V</t>
    </r>
    <r>
      <rPr>
        <vertAlign val="subscript"/>
        <sz val="10"/>
        <rFont val="Arial"/>
        <family val="2"/>
      </rPr>
      <t>IN(min)</t>
    </r>
  </si>
  <si>
    <t>Pout2-max (W)</t>
  </si>
  <si>
    <t>Max Pout at Vin-min</t>
  </si>
  <si>
    <t>Vout2 - absolute value</t>
  </si>
  <si>
    <t>Vout2 - with polarity</t>
  </si>
  <si>
    <t xml:space="preserve">Diode reverse voltage </t>
  </si>
  <si>
    <t>8mm x 8mm</t>
  </si>
  <si>
    <t>9mm x 9mm</t>
  </si>
  <si>
    <t>10mm x 10mm</t>
  </si>
  <si>
    <t>10mm x 12mm</t>
  </si>
  <si>
    <t>11mm x 13mm</t>
  </si>
  <si>
    <t>10 x 12</t>
  </si>
  <si>
    <t>10 x 10</t>
  </si>
  <si>
    <t>9 x 9</t>
  </si>
  <si>
    <t>8 x 8</t>
  </si>
  <si>
    <t>7 x 7</t>
  </si>
  <si>
    <t>6 x 6</t>
  </si>
  <si>
    <t>11 x 13</t>
  </si>
  <si>
    <r>
      <t>D</t>
    </r>
    <r>
      <rPr>
        <vertAlign val="subscript"/>
        <sz val="10"/>
        <rFont val="Arial"/>
        <family val="2"/>
      </rPr>
      <t>CLAMP</t>
    </r>
  </si>
  <si>
    <t>24V</t>
  </si>
  <si>
    <r>
      <t>C</t>
    </r>
    <r>
      <rPr>
        <vertAlign val="subscript"/>
        <sz val="10"/>
        <rFont val="Arial"/>
        <family val="2"/>
      </rPr>
      <t>OUT2</t>
    </r>
  </si>
  <si>
    <r>
      <t>D</t>
    </r>
    <r>
      <rPr>
        <vertAlign val="subscript"/>
        <sz val="10"/>
        <rFont val="Arial"/>
        <family val="2"/>
      </rPr>
      <t>FLY2</t>
    </r>
  </si>
  <si>
    <r>
      <t>D</t>
    </r>
    <r>
      <rPr>
        <vertAlign val="subscript"/>
        <sz val="10"/>
        <rFont val="Arial"/>
        <family val="2"/>
      </rPr>
      <t>FLY</t>
    </r>
  </si>
  <si>
    <r>
      <t>D</t>
    </r>
    <r>
      <rPr>
        <vertAlign val="subscript"/>
        <sz val="10"/>
        <rFont val="Arial"/>
        <family val="2"/>
      </rPr>
      <t>F</t>
    </r>
    <r>
      <rPr>
        <sz val="11"/>
        <color theme="1"/>
        <rFont val="Arial"/>
        <family val="2"/>
      </rPr>
      <t/>
    </r>
  </si>
  <si>
    <r>
      <t>R</t>
    </r>
    <r>
      <rPr>
        <vertAlign val="subscript"/>
        <sz val="10"/>
        <rFont val="Arial"/>
        <family val="2"/>
      </rPr>
      <t>SET</t>
    </r>
  </si>
  <si>
    <t>*** Use primary-side RC snubber from SW to VIN to dampen leakage inductance spike ***</t>
  </si>
  <si>
    <t>**** Use flyback diode RC snubber to dampen ringing if needed ****</t>
  </si>
  <si>
    <t>SOD323</t>
  </si>
  <si>
    <t>SOD123</t>
  </si>
  <si>
    <t>SMA</t>
  </si>
  <si>
    <t>Footprint</t>
  </si>
  <si>
    <t>Area</t>
  </si>
  <si>
    <t>Diode Size</t>
  </si>
  <si>
    <r>
      <t>D</t>
    </r>
    <r>
      <rPr>
        <vertAlign val="subscript"/>
        <sz val="10"/>
        <rFont val="Arial"/>
        <family val="2"/>
      </rPr>
      <t>OUT</t>
    </r>
  </si>
  <si>
    <t>5.0 x 2.5</t>
  </si>
  <si>
    <t>3.6 x 1.8</t>
  </si>
  <si>
    <t>2.5 x 1.25</t>
  </si>
  <si>
    <t>SOD523</t>
  </si>
  <si>
    <t>Flyback Diode - forward current rating</t>
  </si>
  <si>
    <t>Flyback Diode - reverse voltage rating</t>
  </si>
  <si>
    <t>***** Use output zener to clamp the output at no load *****</t>
  </si>
  <si>
    <r>
      <t>Flyback Diode Voltage Drop, V</t>
    </r>
    <r>
      <rPr>
        <b/>
        <vertAlign val="subscript"/>
        <sz val="10"/>
        <rFont val="Arial"/>
        <family val="2"/>
      </rPr>
      <t>D(no-load)</t>
    </r>
  </si>
  <si>
    <r>
      <t>Flyback Diode Voltage Drop, V</t>
    </r>
    <r>
      <rPr>
        <b/>
        <vertAlign val="subscript"/>
        <sz val="10"/>
        <rFont val="Arial"/>
        <family val="2"/>
      </rPr>
      <t>D(full-load)</t>
    </r>
  </si>
  <si>
    <t>Flyback diode forward voltage at full load</t>
  </si>
  <si>
    <t>Flyback diode forward voltage at no load</t>
  </si>
  <si>
    <t>Vfwd1</t>
  </si>
  <si>
    <t>Vfwd2</t>
  </si>
  <si>
    <t>Transformer secondary winding DCR at 25°C</t>
  </si>
  <si>
    <t>Iout2_actual</t>
  </si>
  <si>
    <t>Maximum output current #1</t>
  </si>
  <si>
    <t>6ms Fixed</t>
  </si>
  <si>
    <t>Iout actual (A)</t>
  </si>
  <si>
    <t>Pout actual (W)</t>
  </si>
  <si>
    <t>Vout actual (V)</t>
  </si>
  <si>
    <t>Ton-diode (µs)</t>
  </si>
  <si>
    <t>Iout-actual</t>
  </si>
  <si>
    <t>Vout-actual -?</t>
  </si>
  <si>
    <t>Pout-actual (W)</t>
  </si>
  <si>
    <t>Vout-calc?</t>
  </si>
  <si>
    <r>
      <t>Duty Cycle at V</t>
    </r>
    <r>
      <rPr>
        <vertAlign val="subscript"/>
        <sz val="10"/>
        <rFont val="Arial"/>
        <family val="2"/>
      </rPr>
      <t>IN(min)</t>
    </r>
  </si>
  <si>
    <t>%</t>
  </si>
  <si>
    <t>Minimum Magnetizing Inductance</t>
  </si>
  <si>
    <t>Lmin</t>
  </si>
  <si>
    <t>Lleak</t>
  </si>
  <si>
    <t>nH</t>
  </si>
  <si>
    <t>Pri-Sec Leakage Inductance</t>
  </si>
  <si>
    <t>LM5180EVM-DUAL PCB design, 2.1" x 1.5" (55mm x 38mm)</t>
  </si>
  <si>
    <t xml:space="preserve"> LM5180 PSR Flyback Converter Design Tool</t>
  </si>
  <si>
    <t>Check Fsw at  Iout-max</t>
  </si>
  <si>
    <t>Check Pout-max at  Iout-max</t>
  </si>
  <si>
    <t>LM5180EVM-S05 PCB Design, 2" x 1.4" (50mm x 35mm)</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</si>
</sst>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_(* #,##0.00_);_(* \(#,##0.00\);_(* &quot;-&quot;??_);_(@_)"/>
    <numFmt numFmtId="177" formatCode="0.00000"/>
    <numFmt numFmtId="178" formatCode="0.0000"/>
    <numFmt numFmtId="179" formatCode="0.000"/>
    <numFmt numFmtId="180" formatCode="0.0"/>
    <numFmt numFmtId="181" formatCode="0.000E+00"/>
    <numFmt numFmtId="182" formatCode="#0.0#"/>
    <numFmt numFmtId="183" formatCode="General&quot;k&quot;"/>
    <numFmt numFmtId="184" formatCode="General&quot;µF&quot;"/>
    <numFmt numFmtId="185" formatCode="General&quot;µH&quot;"/>
    <numFmt numFmtId="186" formatCode="&quot;Inductor, &quot;General&quot;-µH, 10%&quot;"/>
    <numFmt numFmtId="187" formatCode="&quot;Resistor, Chip, &quot;General&quot;-kΩ, 1/16W, 1%&quot;"/>
    <numFmt numFmtId="188" formatCode="0.E+00"/>
    <numFmt numFmtId="189" formatCode="0.0E+00"/>
    <numFmt numFmtId="190" formatCode="&quot;Capacitor, Ceramic, &quot;General&quot;-µF, 100V, X7R, 20%&quot;"/>
    <numFmt numFmtId="191" formatCode="0.000%"/>
    <numFmt numFmtId="192" formatCode="&quot;Capacitor, Ceramic, &quot;General&quot;-µF, 16V, X7R, 20%&quot;"/>
    <numFmt numFmtId="193" formatCode="&quot;Resistor, Chip, &quot;General&quot; kΩ, 1/16W, 1%&quot;"/>
    <numFmt numFmtId="194" formatCode="General&quot;M&quot;"/>
    <numFmt numFmtId="195" formatCode="&quot;Resistor, Chip, &quot;General&quot;kΩ, 1/16W, 1%&quot;"/>
    <numFmt numFmtId="196" formatCode="0E+00"/>
  </numFmts>
  <fonts count="83" x14ac:knownFonts="1">
    <font>
      <sz val="10"/>
      <name val="Arial"/>
    </font>
    <font>
      <sz val="11"/>
      <color theme="1"/>
      <name val="Arial"/>
      <family val="2"/>
    </font>
    <font>
      <sz val="11"/>
      <color theme="1"/>
      <name val="맑은 고딕"/>
      <family val="2"/>
      <scheme val="minor"/>
    </font>
    <font>
      <sz val="10"/>
      <name val="Arial"/>
      <family val="2"/>
    </font>
    <font>
      <b/>
      <sz val="10"/>
      <name val="Arial"/>
      <family val="2"/>
    </font>
    <font>
      <b/>
      <sz val="22"/>
      <color indexed="44"/>
      <name val="Arial"/>
      <family val="2"/>
    </font>
    <font>
      <sz val="8"/>
      <name val="Arial"/>
      <family val="2"/>
    </font>
    <font>
      <b/>
      <i/>
      <sz val="10"/>
      <name val="Arial"/>
      <family val="2"/>
    </font>
    <font>
      <sz val="10"/>
      <name val="Arial"/>
      <family val="2"/>
    </font>
    <font>
      <vertAlign val="subscript"/>
      <sz val="10"/>
      <name val="Arial"/>
      <family val="2"/>
    </font>
    <font>
      <u/>
      <sz val="10"/>
      <color indexed="12"/>
      <name val="Arial"/>
      <family val="2"/>
    </font>
    <font>
      <b/>
      <sz val="16"/>
      <name val="Arial"/>
      <family val="2"/>
    </font>
    <font>
      <sz val="10"/>
      <color indexed="44"/>
      <name val="Arial"/>
      <family val="2"/>
    </font>
    <font>
      <b/>
      <sz val="28"/>
      <color indexed="44"/>
      <name val="Arial"/>
      <family val="2"/>
    </font>
    <font>
      <b/>
      <sz val="10"/>
      <color indexed="44"/>
      <name val="Arial"/>
      <family val="2"/>
    </font>
    <font>
      <sz val="10"/>
      <color indexed="8"/>
      <name val="Arial"/>
      <family val="2"/>
    </font>
    <font>
      <b/>
      <sz val="24"/>
      <color indexed="44"/>
      <name val="Arial"/>
      <family val="2"/>
    </font>
    <font>
      <sz val="10"/>
      <name val="Calibri"/>
      <family val="2"/>
    </font>
    <font>
      <b/>
      <sz val="10"/>
      <name val="Calibri"/>
      <family val="2"/>
    </font>
    <font>
      <sz val="10"/>
      <color indexed="55"/>
      <name val="Calibri"/>
      <family val="2"/>
    </font>
    <font>
      <b/>
      <sz val="10"/>
      <color indexed="9"/>
      <name val="Calibri"/>
      <family val="2"/>
    </font>
    <font>
      <b/>
      <sz val="12"/>
      <color indexed="48"/>
      <name val="Arial"/>
      <family val="2"/>
    </font>
    <font>
      <b/>
      <sz val="12"/>
      <color indexed="12"/>
      <name val="Arial"/>
      <family val="2"/>
    </font>
    <font>
      <b/>
      <sz val="12"/>
      <color indexed="9"/>
      <name val="Calibri"/>
      <family val="2"/>
    </font>
    <font>
      <b/>
      <sz val="22"/>
      <color indexed="9"/>
      <name val="Calibri"/>
      <family val="2"/>
    </font>
    <font>
      <b/>
      <sz val="10"/>
      <color indexed="13"/>
      <name val="Calibri"/>
      <family val="2"/>
    </font>
    <font>
      <sz val="10"/>
      <color indexed="56"/>
      <name val="Calibri"/>
      <family val="2"/>
    </font>
    <font>
      <sz val="10"/>
      <color indexed="8"/>
      <name val="Arial"/>
      <family val="2"/>
    </font>
    <font>
      <b/>
      <sz val="14"/>
      <color indexed="9"/>
      <name val="Calibri"/>
      <family val="2"/>
    </font>
    <font>
      <sz val="11"/>
      <color indexed="81"/>
      <name val="Tahoma"/>
      <family val="2"/>
    </font>
    <font>
      <b/>
      <i/>
      <sz val="14"/>
      <color indexed="12"/>
      <name val="Calibri"/>
      <family val="2"/>
    </font>
    <font>
      <b/>
      <sz val="9"/>
      <color indexed="81"/>
      <name val="Tahoma"/>
      <family val="2"/>
    </font>
    <font>
      <sz val="9"/>
      <color indexed="81"/>
      <name val="Tahoma"/>
      <family val="2"/>
    </font>
    <font>
      <b/>
      <u/>
      <sz val="9"/>
      <color indexed="81"/>
      <name val="Tahoma"/>
      <family val="2"/>
    </font>
    <font>
      <sz val="11"/>
      <color indexed="10"/>
      <name val="Tahoma"/>
      <family val="2"/>
    </font>
    <font>
      <b/>
      <sz val="11"/>
      <color indexed="10"/>
      <name val="Tahoma"/>
      <family val="2"/>
    </font>
    <font>
      <b/>
      <sz val="9"/>
      <color indexed="10"/>
      <name val="Tahoma"/>
      <family val="2"/>
    </font>
    <font>
      <sz val="9"/>
      <color indexed="39"/>
      <name val="Tahoma"/>
      <family val="2"/>
    </font>
    <font>
      <b/>
      <sz val="9"/>
      <color indexed="39"/>
      <name val="Tahoma"/>
      <family val="2"/>
    </font>
    <font>
      <b/>
      <vertAlign val="subscript"/>
      <sz val="9"/>
      <color indexed="81"/>
      <name val="Tahoma"/>
      <family val="2"/>
    </font>
    <font>
      <sz val="36"/>
      <color rgb="FFFF0000"/>
      <name val="Arial"/>
      <family val="2"/>
    </font>
    <font>
      <b/>
      <u/>
      <sz val="11"/>
      <color indexed="10"/>
      <name val="Tahoma"/>
      <family val="2"/>
    </font>
    <font>
      <sz val="16"/>
      <color theme="0"/>
      <name val="Arial"/>
      <family val="2"/>
    </font>
    <font>
      <b/>
      <vertAlign val="subscript"/>
      <sz val="10"/>
      <name val="Arial"/>
      <family val="2"/>
    </font>
    <font>
      <sz val="10"/>
      <color indexed="23"/>
      <name val="Arial"/>
      <family val="2"/>
    </font>
    <font>
      <sz val="10"/>
      <color indexed="55"/>
      <name val="Arial"/>
      <family val="2"/>
    </font>
    <font>
      <b/>
      <i/>
      <sz val="10"/>
      <color indexed="55"/>
      <name val="Arial"/>
      <family val="2"/>
    </font>
    <font>
      <b/>
      <i/>
      <sz val="14"/>
      <color indexed="12"/>
      <name val="Arial"/>
      <family val="2"/>
    </font>
    <font>
      <b/>
      <sz val="10"/>
      <color rgb="FFFF0000"/>
      <name val="Arial"/>
      <family val="2"/>
    </font>
    <font>
      <sz val="10"/>
      <color theme="1"/>
      <name val="Arial"/>
      <family val="2"/>
    </font>
    <font>
      <b/>
      <sz val="10"/>
      <color theme="1"/>
      <name val="Arial"/>
      <family val="2"/>
    </font>
    <font>
      <b/>
      <vertAlign val="subscript"/>
      <sz val="10"/>
      <color theme="1"/>
      <name val="Arial"/>
      <family val="2"/>
    </font>
    <font>
      <b/>
      <sz val="12"/>
      <color rgb="FF003366"/>
      <name val="Calibri"/>
      <family val="2"/>
    </font>
    <font>
      <sz val="10"/>
      <name val="Symbol"/>
      <family val="1"/>
      <charset val="2"/>
    </font>
    <font>
      <b/>
      <sz val="10"/>
      <color indexed="9"/>
      <name val="Arial"/>
      <family val="2"/>
    </font>
    <font>
      <b/>
      <sz val="12"/>
      <color rgb="FF0000FF"/>
      <name val="Arial"/>
      <family val="2"/>
    </font>
    <font>
      <b/>
      <u/>
      <sz val="10"/>
      <name val="Arial"/>
      <family val="2"/>
    </font>
    <font>
      <u/>
      <sz val="9"/>
      <color indexed="12"/>
      <name val="Tahoma"/>
      <family val="2"/>
    </font>
    <font>
      <sz val="10"/>
      <color rgb="FFFF0000"/>
      <name val="Arial"/>
      <family val="2"/>
    </font>
    <font>
      <sz val="10"/>
      <color theme="0"/>
      <name val="Arial"/>
      <family val="2"/>
    </font>
    <font>
      <sz val="30"/>
      <color theme="0"/>
      <name val="Arial"/>
      <family val="2"/>
    </font>
    <font>
      <sz val="10"/>
      <name val="맑은 고딕"/>
      <family val="1"/>
      <scheme val="major"/>
    </font>
    <font>
      <b/>
      <sz val="10"/>
      <color indexed="8"/>
      <name val="Arial"/>
      <family val="2"/>
    </font>
    <font>
      <sz val="10"/>
      <name val="Times New Roman"/>
      <family val="1"/>
    </font>
    <font>
      <sz val="18"/>
      <name val="Arial"/>
      <family val="2"/>
    </font>
    <font>
      <b/>
      <sz val="11"/>
      <name val="Symbol"/>
      <family val="1"/>
      <charset val="2"/>
    </font>
    <font>
      <b/>
      <sz val="10"/>
      <color rgb="FF0000FF"/>
      <name val="Arial"/>
      <family val="2"/>
    </font>
    <font>
      <u/>
      <sz val="10"/>
      <color theme="0" tint="-0.499984740745262"/>
      <name val="Arial"/>
      <family val="2"/>
    </font>
    <font>
      <vertAlign val="subscript"/>
      <sz val="9"/>
      <color indexed="81"/>
      <name val="Tahoma"/>
      <family val="2"/>
    </font>
    <font>
      <b/>
      <vertAlign val="subscript"/>
      <sz val="16"/>
      <name val="Arial"/>
      <family val="2"/>
    </font>
    <font>
      <b/>
      <sz val="10"/>
      <color rgb="FF33CC33"/>
      <name val="Arial"/>
      <family val="2"/>
    </font>
    <font>
      <sz val="10"/>
      <name val="Arial"/>
      <family val="2"/>
    </font>
    <font>
      <sz val="9"/>
      <color indexed="8"/>
      <name val="Tahoma"/>
      <family val="2"/>
    </font>
    <font>
      <b/>
      <sz val="10"/>
      <color theme="0"/>
      <name val="Arial"/>
      <family val="2"/>
    </font>
    <font>
      <b/>
      <vertAlign val="superscript"/>
      <sz val="10"/>
      <color theme="0"/>
      <name val="Arial"/>
      <family val="2"/>
    </font>
    <font>
      <b/>
      <sz val="11"/>
      <color rgb="FFFF0000"/>
      <name val="Arial"/>
      <family val="2"/>
    </font>
    <font>
      <b/>
      <sz val="12"/>
      <color rgb="FFFF0000"/>
      <name val="Arial"/>
      <family val="2"/>
    </font>
    <font>
      <b/>
      <vertAlign val="superscript"/>
      <sz val="12"/>
      <color rgb="FFFF0000"/>
      <name val="Arial"/>
      <family val="2"/>
    </font>
    <font>
      <sz val="34"/>
      <color theme="0"/>
      <name val="Arial"/>
      <family val="2"/>
    </font>
    <font>
      <b/>
      <sz val="10"/>
      <color theme="6" tint="-0.249977111117893"/>
      <name val="Arial"/>
      <family val="2"/>
    </font>
    <font>
      <sz val="10"/>
      <color rgb="FF0000FF"/>
      <name val="Arial"/>
      <family val="2"/>
    </font>
    <font>
      <b/>
      <sz val="10"/>
      <color theme="9" tint="-0.249977111117893"/>
      <name val="Arial"/>
      <family val="2"/>
    </font>
    <font>
      <sz val="8"/>
      <name val="돋움"/>
      <family val="3"/>
      <charset val="129"/>
    </font>
  </fonts>
  <fills count="29">
    <fill>
      <patternFill patternType="none"/>
    </fill>
    <fill>
      <patternFill patternType="gray125"/>
    </fill>
    <fill>
      <patternFill patternType="solid">
        <fgColor indexed="44"/>
        <bgColor indexed="64"/>
      </patternFill>
    </fill>
    <fill>
      <patternFill patternType="solid">
        <fgColor indexed="8"/>
        <bgColor indexed="64"/>
      </patternFill>
    </fill>
    <fill>
      <patternFill patternType="solid">
        <fgColor indexed="22"/>
        <bgColor indexed="64"/>
      </patternFill>
    </fill>
    <fill>
      <patternFill patternType="solid">
        <fgColor indexed="55"/>
        <bgColor indexed="64"/>
      </patternFill>
    </fill>
    <fill>
      <patternFill patternType="solid">
        <fgColor indexed="45"/>
        <bgColor indexed="64"/>
      </patternFill>
    </fill>
    <fill>
      <patternFill patternType="solid">
        <fgColor indexed="46"/>
        <bgColor indexed="64"/>
      </patternFill>
    </fill>
    <fill>
      <patternFill patternType="solid">
        <fgColor indexed="9"/>
        <bgColor indexed="64"/>
      </patternFill>
    </fill>
    <fill>
      <patternFill patternType="solid">
        <fgColor indexed="13"/>
        <bgColor indexed="64"/>
      </patternFill>
    </fill>
    <fill>
      <patternFill patternType="solid">
        <fgColor indexed="52"/>
        <bgColor indexed="64"/>
      </patternFill>
    </fill>
    <fill>
      <patternFill patternType="solid">
        <fgColor indexed="50"/>
        <bgColor indexed="64"/>
      </patternFill>
    </fill>
    <fill>
      <patternFill patternType="solid">
        <fgColor theme="0"/>
        <bgColor indexed="64"/>
      </patternFill>
    </fill>
    <fill>
      <patternFill patternType="solid">
        <fgColor rgb="FFFF0000"/>
        <bgColor indexed="64"/>
      </patternFill>
    </fill>
    <fill>
      <patternFill patternType="solid">
        <fgColor theme="1"/>
        <bgColor indexed="64"/>
      </patternFill>
    </fill>
    <fill>
      <patternFill patternType="solid">
        <fgColor rgb="FFFFFF00"/>
        <bgColor indexed="64"/>
      </patternFill>
    </fill>
    <fill>
      <patternFill patternType="solid">
        <fgColor indexed="43"/>
        <bgColor indexed="64"/>
      </patternFill>
    </fill>
    <fill>
      <patternFill patternType="solid">
        <fgColor rgb="FFFFFF99"/>
        <bgColor indexed="64"/>
      </patternFill>
    </fill>
    <fill>
      <patternFill patternType="solid">
        <fgColor rgb="FFFF9900"/>
        <bgColor indexed="64"/>
      </patternFill>
    </fill>
    <fill>
      <patternFill patternType="solid">
        <fgColor rgb="FF99CC00"/>
        <bgColor indexed="64"/>
      </patternFill>
    </fill>
    <fill>
      <patternFill patternType="solid">
        <fgColor rgb="FFC0C0C0"/>
        <bgColor indexed="64"/>
      </patternFill>
    </fill>
    <fill>
      <patternFill patternType="solid">
        <fgColor rgb="FFFFC000"/>
        <bgColor indexed="64"/>
      </patternFill>
    </fill>
    <fill>
      <patternFill patternType="solid">
        <fgColor theme="7" tint="0.39997558519241921"/>
        <bgColor indexed="64"/>
      </patternFill>
    </fill>
    <fill>
      <patternFill patternType="solid">
        <fgColor theme="0" tint="-0.249977111117893"/>
        <bgColor indexed="64"/>
      </patternFill>
    </fill>
    <fill>
      <patternFill patternType="solid">
        <fgColor theme="0" tint="-0.499984740745262"/>
        <bgColor indexed="64"/>
      </patternFill>
    </fill>
    <fill>
      <patternFill patternType="solid">
        <fgColor rgb="FF33CC33"/>
        <bgColor indexed="64"/>
      </patternFill>
    </fill>
    <fill>
      <patternFill patternType="solid">
        <fgColor rgb="FF00B0F0"/>
        <bgColor indexed="64"/>
      </patternFill>
    </fill>
    <fill>
      <patternFill patternType="solid">
        <fgColor theme="3" tint="0.79998168889431442"/>
        <bgColor indexed="64"/>
      </patternFill>
    </fill>
    <fill>
      <patternFill patternType="solid">
        <fgColor rgb="FFFF00FF"/>
        <bgColor indexed="64"/>
      </patternFill>
    </fill>
  </fills>
  <borders count="79">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medium">
        <color indexed="55"/>
      </top>
      <bottom/>
      <diagonal/>
    </border>
    <border>
      <left/>
      <right/>
      <top/>
      <bottom style="medium">
        <color indexed="55"/>
      </bottom>
      <diagonal/>
    </border>
    <border>
      <left/>
      <right style="medium">
        <color indexed="55"/>
      </right>
      <top style="medium">
        <color indexed="55"/>
      </top>
      <bottom/>
      <diagonal/>
    </border>
    <border>
      <left/>
      <right style="medium">
        <color indexed="55"/>
      </right>
      <top/>
      <bottom/>
      <diagonal/>
    </border>
    <border>
      <left/>
      <right style="medium">
        <color indexed="55"/>
      </right>
      <top/>
      <bottom style="medium">
        <color indexed="55"/>
      </bottom>
      <diagonal/>
    </border>
    <border>
      <left style="medium">
        <color indexed="55"/>
      </left>
      <right/>
      <top style="medium">
        <color indexed="55"/>
      </top>
      <bottom/>
      <diagonal/>
    </border>
    <border>
      <left style="medium">
        <color indexed="55"/>
      </left>
      <right/>
      <top/>
      <bottom/>
      <diagonal/>
    </border>
    <border>
      <left style="medium">
        <color indexed="55"/>
      </left>
      <right/>
      <top/>
      <bottom style="medium">
        <color indexed="55"/>
      </bottom>
      <diagonal/>
    </border>
    <border>
      <left/>
      <right/>
      <top style="medium">
        <color auto="1"/>
      </top>
      <bottom/>
      <diagonal/>
    </border>
    <border>
      <left/>
      <right style="medium">
        <color auto="1"/>
      </right>
      <top style="medium">
        <color auto="1"/>
      </top>
      <bottom/>
      <diagonal/>
    </border>
    <border>
      <left style="medium">
        <color auto="1"/>
      </left>
      <right/>
      <top style="medium">
        <color auto="1"/>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medium">
        <color auto="1"/>
      </left>
      <right/>
      <top style="medium">
        <color indexed="64"/>
      </top>
      <bottom style="medium">
        <color indexed="64"/>
      </bottom>
      <diagonal/>
    </border>
    <border>
      <left/>
      <right/>
      <top style="medium">
        <color auto="1"/>
      </top>
      <bottom style="medium">
        <color auto="1"/>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top style="medium">
        <color indexed="55"/>
      </top>
      <bottom/>
      <diagonal/>
    </border>
    <border>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medium">
        <color indexed="64"/>
      </bottom>
      <diagonal/>
    </border>
    <border>
      <left style="double">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double">
        <color indexed="64"/>
      </left>
      <right style="thin">
        <color indexed="64"/>
      </right>
      <top style="thin">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style="thin">
        <color indexed="64"/>
      </top>
      <bottom style="medium">
        <color indexed="64"/>
      </bottom>
      <diagonal/>
    </border>
    <border>
      <left style="medium">
        <color indexed="64"/>
      </left>
      <right/>
      <top/>
      <bottom style="thin">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style="medium">
        <color indexed="64"/>
      </top>
      <bottom style="thin">
        <color indexed="64"/>
      </bottom>
      <diagonal/>
    </border>
  </borders>
  <cellStyleXfs count="8">
    <xf numFmtId="0" fontId="0" fillId="0" borderId="0"/>
    <xf numFmtId="0" fontId="4" fillId="0" borderId="0" applyNumberFormat="0" applyFill="0" applyBorder="0" applyAlignment="0" applyProtection="0"/>
    <xf numFmtId="176" fontId="3" fillId="0" borderId="0" applyFont="0" applyFill="0" applyBorder="0" applyAlignment="0" applyProtection="0"/>
    <xf numFmtId="0" fontId="10" fillId="0" borderId="0" applyNumberFormat="0" applyFill="0" applyBorder="0" applyAlignment="0" applyProtection="0">
      <alignment vertical="top"/>
      <protection locked="0"/>
    </xf>
    <xf numFmtId="0" fontId="3" fillId="0" borderId="0"/>
    <xf numFmtId="0" fontId="2" fillId="0" borderId="0"/>
    <xf numFmtId="176" fontId="2" fillId="0" borderId="0" applyFont="0" applyFill="0" applyBorder="0" applyAlignment="0" applyProtection="0"/>
    <xf numFmtId="9" fontId="71" fillId="0" borderId="0" applyFont="0" applyFill="0" applyBorder="0" applyAlignment="0" applyProtection="0"/>
  </cellStyleXfs>
  <cellXfs count="695">
    <xf numFmtId="0" fontId="0" fillId="0" borderId="0" xfId="0"/>
    <xf numFmtId="0" fontId="76" fillId="8" borderId="0" xfId="4" applyFont="1" applyFill="1" applyAlignment="1">
      <alignment horizontal="right" wrapText="1"/>
    </xf>
    <xf numFmtId="0" fontId="23" fillId="24" borderId="0" xfId="0" applyFont="1" applyFill="1" applyBorder="1" applyAlignment="1" applyProtection="1">
      <alignment horizontal="center" vertical="center"/>
    </xf>
    <xf numFmtId="0" fontId="7" fillId="0" borderId="0" xfId="0" applyFont="1"/>
    <xf numFmtId="0" fontId="4" fillId="0" borderId="0" xfId="0" applyFont="1"/>
    <xf numFmtId="0" fontId="8" fillId="0" borderId="0" xfId="0" applyFont="1"/>
    <xf numFmtId="2" fontId="0" fillId="0" borderId="0" xfId="0" applyNumberFormat="1"/>
    <xf numFmtId="0" fontId="4" fillId="2" borderId="0" xfId="0" applyFont="1" applyFill="1"/>
    <xf numFmtId="0" fontId="0" fillId="0" borderId="0" xfId="0" applyBorder="1"/>
    <xf numFmtId="2" fontId="0" fillId="0" borderId="0" xfId="0" applyNumberFormat="1" applyBorder="1"/>
    <xf numFmtId="0" fontId="0" fillId="4" borderId="2" xfId="0" applyFill="1" applyBorder="1"/>
    <xf numFmtId="0" fontId="0" fillId="4" borderId="0" xfId="0" applyFill="1" applyBorder="1"/>
    <xf numFmtId="0" fontId="0" fillId="0" borderId="0" xfId="0" applyFill="1"/>
    <xf numFmtId="0" fontId="0" fillId="0" borderId="0" xfId="0" applyFill="1" applyBorder="1"/>
    <xf numFmtId="0" fontId="15" fillId="0" borderId="0" xfId="0" applyFont="1" applyFill="1" applyBorder="1"/>
    <xf numFmtId="0" fontId="4" fillId="0" borderId="0" xfId="0" applyFont="1" applyFill="1" applyBorder="1"/>
    <xf numFmtId="0" fontId="0" fillId="9" borderId="0" xfId="0" applyFill="1"/>
    <xf numFmtId="0" fontId="0" fillId="0" borderId="0" xfId="0" applyAlignment="1">
      <alignment horizontal="right"/>
    </xf>
    <xf numFmtId="0" fontId="17" fillId="0" borderId="0" xfId="0" applyFont="1"/>
    <xf numFmtId="11" fontId="7" fillId="0" borderId="0" xfId="0" applyNumberFormat="1" applyFont="1"/>
    <xf numFmtId="0" fontId="4" fillId="0" borderId="0" xfId="0" applyFont="1" applyFill="1" applyAlignment="1">
      <alignment horizontal="center"/>
    </xf>
    <xf numFmtId="0" fontId="4" fillId="4" borderId="0" xfId="0" applyFont="1" applyFill="1" applyAlignment="1">
      <alignment horizontal="center"/>
    </xf>
    <xf numFmtId="0" fontId="4" fillId="10" borderId="0" xfId="0" applyFont="1" applyFill="1" applyAlignment="1">
      <alignment horizontal="center"/>
    </xf>
    <xf numFmtId="0" fontId="4" fillId="11" borderId="0" xfId="0" applyFont="1" applyFill="1" applyAlignment="1">
      <alignment horizontal="center"/>
    </xf>
    <xf numFmtId="182" fontId="17" fillId="3" borderId="0" xfId="0" applyNumberFormat="1" applyFont="1" applyFill="1" applyBorder="1" applyAlignment="1" applyProtection="1">
      <alignment horizontal="center"/>
    </xf>
    <xf numFmtId="0" fontId="0" fillId="0" borderId="22" xfId="0" applyBorder="1"/>
    <xf numFmtId="0" fontId="0" fillId="0" borderId="23" xfId="0" applyBorder="1"/>
    <xf numFmtId="0" fontId="8" fillId="0" borderId="22" xfId="0" applyFont="1" applyBorder="1"/>
    <xf numFmtId="0" fontId="0" fillId="11" borderId="0" xfId="0" applyFill="1" applyBorder="1"/>
    <xf numFmtId="0" fontId="0" fillId="0" borderId="24" xfId="0" applyBorder="1"/>
    <xf numFmtId="0" fontId="0" fillId="0" borderId="25" xfId="0" applyBorder="1"/>
    <xf numFmtId="0" fontId="0" fillId="0" borderId="26" xfId="0" applyBorder="1"/>
    <xf numFmtId="0" fontId="0" fillId="0" borderId="2" xfId="0" applyBorder="1"/>
    <xf numFmtId="0" fontId="0" fillId="0" borderId="3" xfId="0" applyBorder="1"/>
    <xf numFmtId="0" fontId="7" fillId="0" borderId="22" xfId="0" applyFont="1" applyBorder="1"/>
    <xf numFmtId="0" fontId="4" fillId="0" borderId="22" xfId="0" applyFont="1" applyBorder="1"/>
    <xf numFmtId="11" fontId="0" fillId="11" borderId="0" xfId="0" applyNumberFormat="1" applyFill="1" applyBorder="1"/>
    <xf numFmtId="0" fontId="0" fillId="10" borderId="0" xfId="0" applyFill="1" applyBorder="1"/>
    <xf numFmtId="0" fontId="0" fillId="0" borderId="0" xfId="0" applyBorder="1" applyAlignment="1">
      <alignment horizontal="right"/>
    </xf>
    <xf numFmtId="0" fontId="0" fillId="0" borderId="25" xfId="0" applyBorder="1" applyAlignment="1">
      <alignment horizontal="right"/>
    </xf>
    <xf numFmtId="0" fontId="7" fillId="0" borderId="0" xfId="0" applyFont="1" applyBorder="1"/>
    <xf numFmtId="0" fontId="4" fillId="0" borderId="0" xfId="0" applyFont="1" applyBorder="1"/>
    <xf numFmtId="11" fontId="7" fillId="0" borderId="25" xfId="0" applyNumberFormat="1" applyFont="1" applyBorder="1"/>
    <xf numFmtId="11" fontId="0" fillId="4" borderId="0" xfId="0" applyNumberFormat="1" applyFill="1" applyBorder="1"/>
    <xf numFmtId="0" fontId="4" fillId="0" borderId="0" xfId="0" applyFont="1" applyFill="1" applyBorder="1" applyAlignment="1"/>
    <xf numFmtId="0" fontId="8" fillId="0" borderId="0" xfId="0" applyFont="1" applyFill="1" applyBorder="1" applyAlignment="1"/>
    <xf numFmtId="0" fontId="8" fillId="0" borderId="0" xfId="0" applyFont="1" applyFill="1" applyBorder="1"/>
    <xf numFmtId="0" fontId="17" fillId="3" borderId="0" xfId="0" applyFont="1" applyFill="1" applyBorder="1" applyProtection="1"/>
    <xf numFmtId="0" fontId="17" fillId="3" borderId="0" xfId="0" applyFont="1" applyFill="1" applyProtection="1"/>
    <xf numFmtId="0" fontId="18" fillId="8" borderId="0" xfId="0" applyFont="1" applyFill="1" applyBorder="1" applyAlignment="1" applyProtection="1"/>
    <xf numFmtId="0" fontId="18" fillId="8" borderId="0" xfId="0" applyFont="1" applyFill="1" applyBorder="1" applyAlignment="1" applyProtection="1">
      <alignment horizontal="right"/>
    </xf>
    <xf numFmtId="0" fontId="17" fillId="8" borderId="0" xfId="0" applyFont="1" applyFill="1" applyBorder="1" applyProtection="1"/>
    <xf numFmtId="0" fontId="21" fillId="0" borderId="0" xfId="0" applyFont="1" applyBorder="1"/>
    <xf numFmtId="0" fontId="4" fillId="0" borderId="0" xfId="0" applyFont="1" applyBorder="1" applyAlignment="1">
      <alignment horizontal="center"/>
    </xf>
    <xf numFmtId="0" fontId="0" fillId="0" borderId="1" xfId="0" applyBorder="1"/>
    <xf numFmtId="0" fontId="0" fillId="0" borderId="2" xfId="0" applyBorder="1" applyAlignment="1">
      <alignment horizontal="right"/>
    </xf>
    <xf numFmtId="0" fontId="22" fillId="0" borderId="0" xfId="0" applyFont="1" applyBorder="1"/>
    <xf numFmtId="0" fontId="4" fillId="0" borderId="22" xfId="0" applyFont="1" applyFill="1" applyBorder="1"/>
    <xf numFmtId="0" fontId="8" fillId="0" borderId="22" xfId="0" applyFont="1" applyFill="1" applyBorder="1"/>
    <xf numFmtId="0" fontId="0" fillId="0" borderId="2" xfId="0" applyBorder="1" applyAlignment="1"/>
    <xf numFmtId="0" fontId="27" fillId="0" borderId="0" xfId="0" applyFont="1" applyBorder="1"/>
    <xf numFmtId="0" fontId="27" fillId="4" borderId="0" xfId="0" applyFont="1" applyFill="1" applyBorder="1"/>
    <xf numFmtId="0" fontId="0" fillId="0" borderId="0" xfId="0" applyFont="1" applyFill="1" applyBorder="1"/>
    <xf numFmtId="0" fontId="21" fillId="0" borderId="32" xfId="0" applyFont="1" applyBorder="1"/>
    <xf numFmtId="0" fontId="0" fillId="0" borderId="27" xfId="0" applyBorder="1"/>
    <xf numFmtId="0" fontId="0" fillId="0" borderId="29" xfId="0" applyBorder="1"/>
    <xf numFmtId="0" fontId="8" fillId="0" borderId="33" xfId="0" applyFont="1" applyBorder="1"/>
    <xf numFmtId="0" fontId="0" fillId="0" borderId="30" xfId="0" applyBorder="1"/>
    <xf numFmtId="0" fontId="27" fillId="0" borderId="33" xfId="0" applyFont="1" applyBorder="1"/>
    <xf numFmtId="0" fontId="27" fillId="0" borderId="33" xfId="0" applyFont="1" applyFill="1" applyBorder="1"/>
    <xf numFmtId="0" fontId="27" fillId="0" borderId="34" xfId="0" applyFont="1" applyBorder="1"/>
    <xf numFmtId="0" fontId="27" fillId="0" borderId="28" xfId="0" applyFont="1" applyBorder="1"/>
    <xf numFmtId="0" fontId="0" fillId="0" borderId="28" xfId="0" applyBorder="1"/>
    <xf numFmtId="0" fontId="0" fillId="0" borderId="31" xfId="0" applyBorder="1"/>
    <xf numFmtId="0" fontId="19" fillId="8" borderId="0" xfId="0" applyFont="1" applyFill="1" applyBorder="1" applyProtection="1"/>
    <xf numFmtId="2" fontId="17" fillId="8" borderId="0" xfId="0" applyNumberFormat="1" applyFont="1" applyFill="1" applyBorder="1" applyProtection="1"/>
    <xf numFmtId="178" fontId="17" fillId="8" borderId="0" xfId="0" applyNumberFormat="1" applyFont="1" applyFill="1" applyBorder="1" applyProtection="1"/>
    <xf numFmtId="0" fontId="17" fillId="12" borderId="0" xfId="0" applyFont="1" applyFill="1" applyProtection="1"/>
    <xf numFmtId="0" fontId="3" fillId="0" borderId="0" xfId="0" applyFont="1"/>
    <xf numFmtId="0" fontId="3" fillId="0" borderId="0" xfId="0" applyFont="1" applyBorder="1"/>
    <xf numFmtId="0" fontId="0" fillId="0" borderId="0" xfId="0" applyBorder="1" applyAlignment="1">
      <alignment horizontal="left"/>
    </xf>
    <xf numFmtId="0" fontId="3" fillId="0" borderId="2" xfId="0" applyFont="1" applyBorder="1"/>
    <xf numFmtId="0" fontId="3" fillId="0" borderId="25" xfId="0" applyFont="1" applyBorder="1"/>
    <xf numFmtId="0" fontId="30" fillId="8" borderId="0" xfId="0" applyFont="1" applyFill="1" applyBorder="1" applyAlignment="1" applyProtection="1"/>
    <xf numFmtId="0" fontId="17" fillId="12" borderId="0" xfId="0" applyFont="1" applyFill="1" applyBorder="1" applyProtection="1"/>
    <xf numFmtId="0" fontId="20" fillId="15" borderId="0" xfId="0" applyFont="1" applyFill="1" applyBorder="1" applyAlignment="1" applyProtection="1">
      <alignment vertical="center"/>
    </xf>
    <xf numFmtId="0" fontId="0" fillId="14" borderId="0" xfId="0" applyFill="1"/>
    <xf numFmtId="0" fontId="42" fillId="14" borderId="0" xfId="0" applyFont="1" applyFill="1"/>
    <xf numFmtId="0" fontId="4" fillId="8" borderId="0" xfId="0" applyFont="1" applyFill="1" applyBorder="1" applyAlignment="1" applyProtection="1">
      <alignment horizontal="right"/>
    </xf>
    <xf numFmtId="0" fontId="3" fillId="8" borderId="0" xfId="0" applyFont="1" applyFill="1" applyBorder="1" applyAlignment="1" applyProtection="1">
      <alignment horizontal="right"/>
    </xf>
    <xf numFmtId="0" fontId="3" fillId="8" borderId="22" xfId="0" applyFont="1" applyFill="1" applyBorder="1" applyProtection="1"/>
    <xf numFmtId="0" fontId="3" fillId="8" borderId="0" xfId="0" applyFont="1" applyFill="1" applyBorder="1" applyProtection="1"/>
    <xf numFmtId="0" fontId="45" fillId="8" borderId="0" xfId="0" applyFont="1" applyFill="1" applyBorder="1" applyProtection="1"/>
    <xf numFmtId="0" fontId="46" fillId="8" borderId="0" xfId="0" applyFont="1" applyFill="1" applyBorder="1" applyProtection="1"/>
    <xf numFmtId="0" fontId="47" fillId="8" borderId="0" xfId="0" applyFont="1" applyFill="1" applyBorder="1" applyAlignment="1" applyProtection="1"/>
    <xf numFmtId="0" fontId="4" fillId="8" borderId="0" xfId="0" applyFont="1" applyFill="1" applyBorder="1" applyAlignment="1" applyProtection="1"/>
    <xf numFmtId="180" fontId="4" fillId="8" borderId="0" xfId="0" applyNumberFormat="1" applyFont="1" applyFill="1" applyBorder="1" applyAlignment="1" applyProtection="1"/>
    <xf numFmtId="0" fontId="47" fillId="8" borderId="0" xfId="0" applyFont="1" applyFill="1" applyBorder="1" applyProtection="1"/>
    <xf numFmtId="0" fontId="4" fillId="8" borderId="0" xfId="0" applyFont="1" applyFill="1" applyBorder="1" applyProtection="1"/>
    <xf numFmtId="0" fontId="4" fillId="8" borderId="22" xfId="0" applyFont="1" applyFill="1" applyBorder="1" applyProtection="1"/>
    <xf numFmtId="0" fontId="4" fillId="15" borderId="0" xfId="0" applyFont="1" applyFill="1" applyBorder="1" applyProtection="1">
      <protection locked="0"/>
    </xf>
    <xf numFmtId="1" fontId="44" fillId="8" borderId="0" xfId="0" applyNumberFormat="1" applyFont="1" applyFill="1" applyBorder="1" applyAlignment="1" applyProtection="1">
      <alignment horizontal="right"/>
    </xf>
    <xf numFmtId="0" fontId="50" fillId="8" borderId="0" xfId="0" applyFont="1" applyFill="1" applyBorder="1" applyAlignment="1" applyProtection="1">
      <alignment horizontal="right"/>
    </xf>
    <xf numFmtId="0" fontId="3" fillId="8" borderId="24" xfId="0" applyFont="1" applyFill="1" applyBorder="1" applyProtection="1"/>
    <xf numFmtId="0" fontId="3" fillId="8" borderId="25" xfId="0" applyFont="1" applyFill="1" applyBorder="1" applyProtection="1"/>
    <xf numFmtId="0" fontId="3" fillId="8" borderId="23" xfId="0" applyFont="1" applyFill="1" applyBorder="1" applyProtection="1"/>
    <xf numFmtId="0" fontId="3" fillId="8" borderId="39" xfId="0" applyFont="1" applyFill="1" applyBorder="1" applyProtection="1"/>
    <xf numFmtId="0" fontId="3" fillId="8" borderId="40" xfId="0" applyFont="1" applyFill="1" applyBorder="1" applyProtection="1"/>
    <xf numFmtId="0" fontId="22" fillId="8" borderId="22" xfId="0" applyFont="1" applyFill="1" applyBorder="1" applyAlignment="1" applyProtection="1">
      <alignment vertical="center"/>
    </xf>
    <xf numFmtId="0" fontId="17" fillId="3" borderId="22" xfId="0" applyFont="1" applyFill="1" applyBorder="1" applyProtection="1"/>
    <xf numFmtId="0" fontId="4" fillId="8" borderId="39" xfId="0" applyFont="1" applyFill="1" applyBorder="1" applyProtection="1"/>
    <xf numFmtId="0" fontId="3" fillId="0" borderId="1" xfId="0" applyFont="1" applyBorder="1"/>
    <xf numFmtId="0" fontId="3" fillId="0" borderId="22" xfId="0" applyFont="1" applyBorder="1"/>
    <xf numFmtId="0" fontId="3" fillId="0" borderId="0" xfId="0" applyFont="1" applyFill="1" applyBorder="1"/>
    <xf numFmtId="2" fontId="0" fillId="0" borderId="0" xfId="0" applyNumberFormat="1" applyBorder="1" applyAlignment="1">
      <alignment horizontal="right"/>
    </xf>
    <xf numFmtId="0" fontId="53" fillId="0" borderId="0" xfId="0" applyFont="1" applyBorder="1"/>
    <xf numFmtId="0" fontId="3" fillId="8" borderId="0" xfId="4" applyFill="1"/>
    <xf numFmtId="0" fontId="11" fillId="8" borderId="0" xfId="4" applyFont="1" applyFill="1" applyAlignment="1">
      <alignment vertical="center"/>
    </xf>
    <xf numFmtId="0" fontId="3" fillId="16" borderId="17" xfId="4" applyFill="1" applyBorder="1" applyAlignment="1">
      <alignment horizontal="center" vertical="center"/>
    </xf>
    <xf numFmtId="0" fontId="3" fillId="8" borderId="0" xfId="4" applyFill="1" applyAlignment="1">
      <alignment vertical="center"/>
    </xf>
    <xf numFmtId="0" fontId="3" fillId="17" borderId="17" xfId="4" applyFill="1" applyBorder="1" applyAlignment="1">
      <alignment horizontal="center" vertical="center"/>
    </xf>
    <xf numFmtId="0" fontId="3" fillId="17" borderId="11" xfId="4" applyFill="1" applyBorder="1" applyAlignment="1">
      <alignment vertical="center" wrapText="1"/>
    </xf>
    <xf numFmtId="183" fontId="3" fillId="17" borderId="11" xfId="4" applyNumberFormat="1" applyFill="1" applyBorder="1" applyAlignment="1">
      <alignment horizontal="center" vertical="center"/>
    </xf>
    <xf numFmtId="0" fontId="3" fillId="17" borderId="11" xfId="4" quotePrefix="1" applyFill="1" applyBorder="1" applyAlignment="1">
      <alignment horizontal="left" vertical="center"/>
    </xf>
    <xf numFmtId="0" fontId="3" fillId="17" borderId="11" xfId="4" applyFill="1" applyBorder="1" applyAlignment="1">
      <alignment horizontal="left" vertical="center"/>
    </xf>
    <xf numFmtId="0" fontId="3" fillId="12" borderId="17" xfId="4" applyFill="1" applyBorder="1" applyAlignment="1">
      <alignment horizontal="center" vertical="center"/>
    </xf>
    <xf numFmtId="0" fontId="3" fillId="12" borderId="11" xfId="4" applyFill="1" applyBorder="1" applyAlignment="1">
      <alignment vertical="center" wrapText="1"/>
    </xf>
    <xf numFmtId="183" fontId="3" fillId="12" borderId="11" xfId="4" applyNumberFormat="1" applyFill="1" applyBorder="1" applyAlignment="1">
      <alignment horizontal="center" vertical="center"/>
    </xf>
    <xf numFmtId="0" fontId="3" fillId="12" borderId="11" xfId="4" quotePrefix="1" applyFill="1" applyBorder="1" applyAlignment="1">
      <alignment horizontal="left" vertical="center"/>
    </xf>
    <xf numFmtId="0" fontId="3" fillId="12" borderId="11" xfId="4" applyFill="1" applyBorder="1" applyAlignment="1">
      <alignment horizontal="left" vertical="center"/>
    </xf>
    <xf numFmtId="0" fontId="3" fillId="16" borderId="11" xfId="4" applyFill="1" applyBorder="1" applyAlignment="1">
      <alignment vertical="center" wrapText="1"/>
    </xf>
    <xf numFmtId="0" fontId="3" fillId="16" borderId="11" xfId="4" quotePrefix="1" applyFill="1" applyBorder="1" applyAlignment="1">
      <alignment horizontal="left" vertical="center"/>
    </xf>
    <xf numFmtId="0" fontId="3" fillId="16" borderId="11" xfId="4" applyFill="1" applyBorder="1" applyAlignment="1">
      <alignment horizontal="left" vertical="center"/>
    </xf>
    <xf numFmtId="184" fontId="3" fillId="16" borderId="11" xfId="4" applyNumberFormat="1" applyFill="1" applyBorder="1" applyAlignment="1">
      <alignment horizontal="center" vertical="center"/>
    </xf>
    <xf numFmtId="0" fontId="3" fillId="12" borderId="0" xfId="4" applyFill="1"/>
    <xf numFmtId="1" fontId="0" fillId="4" borderId="0" xfId="0" applyNumberFormat="1" applyFill="1" applyBorder="1"/>
    <xf numFmtId="0" fontId="3" fillId="8" borderId="0" xfId="0" applyFont="1" applyFill="1" applyBorder="1" applyAlignment="1" applyProtection="1">
      <alignment vertical="center"/>
    </xf>
    <xf numFmtId="0" fontId="3" fillId="8" borderId="22" xfId="0" applyFont="1" applyFill="1" applyBorder="1" applyAlignment="1" applyProtection="1">
      <alignment vertical="center"/>
    </xf>
    <xf numFmtId="0" fontId="3" fillId="8" borderId="0" xfId="0" applyFont="1" applyFill="1" applyBorder="1" applyAlignment="1" applyProtection="1">
      <alignment horizontal="right" vertical="center"/>
    </xf>
    <xf numFmtId="0" fontId="3" fillId="8" borderId="23" xfId="0" applyFont="1" applyFill="1" applyBorder="1" applyAlignment="1" applyProtection="1">
      <alignment vertical="center"/>
    </xf>
    <xf numFmtId="0" fontId="3" fillId="8" borderId="24" xfId="0" applyFont="1" applyFill="1" applyBorder="1" applyAlignment="1" applyProtection="1">
      <alignment vertical="center"/>
    </xf>
    <xf numFmtId="0" fontId="3" fillId="8" borderId="25" xfId="0" applyFont="1" applyFill="1" applyBorder="1" applyAlignment="1" applyProtection="1">
      <alignment vertical="center"/>
    </xf>
    <xf numFmtId="0" fontId="3" fillId="8" borderId="26" xfId="0" applyFont="1" applyFill="1" applyBorder="1" applyAlignment="1" applyProtection="1">
      <alignment vertical="center"/>
    </xf>
    <xf numFmtId="0" fontId="3" fillId="8" borderId="37" xfId="0" applyFont="1" applyFill="1" applyBorder="1" applyAlignment="1" applyProtection="1">
      <alignment vertical="center"/>
    </xf>
    <xf numFmtId="0" fontId="3" fillId="8" borderId="2" xfId="0" applyFont="1" applyFill="1" applyBorder="1" applyAlignment="1" applyProtection="1">
      <alignment vertical="center"/>
    </xf>
    <xf numFmtId="0" fontId="3" fillId="8" borderId="2" xfId="0" applyFont="1" applyFill="1" applyBorder="1" applyAlignment="1" applyProtection="1">
      <alignment horizontal="right" vertical="center"/>
    </xf>
    <xf numFmtId="0" fontId="50" fillId="8" borderId="2" xfId="0" applyFont="1" applyFill="1" applyBorder="1" applyAlignment="1" applyProtection="1">
      <alignment horizontal="right" vertical="center"/>
    </xf>
    <xf numFmtId="0" fontId="4" fillId="15" borderId="2" xfId="0" applyNumberFormat="1" applyFont="1" applyFill="1" applyBorder="1" applyAlignment="1" applyProtection="1">
      <alignment vertical="center"/>
      <protection locked="0"/>
    </xf>
    <xf numFmtId="0" fontId="50" fillId="8" borderId="0" xfId="0" applyFont="1" applyFill="1" applyBorder="1" applyAlignment="1" applyProtection="1">
      <alignment horizontal="right" vertical="center"/>
    </xf>
    <xf numFmtId="0" fontId="4" fillId="15" borderId="0" xfId="0" applyNumberFormat="1" applyFont="1" applyFill="1" applyBorder="1" applyAlignment="1" applyProtection="1">
      <alignment vertical="center"/>
      <protection locked="0"/>
    </xf>
    <xf numFmtId="0" fontId="4" fillId="8" borderId="23" xfId="0" applyFont="1" applyFill="1" applyBorder="1" applyAlignment="1" applyProtection="1">
      <alignment vertical="center"/>
    </xf>
    <xf numFmtId="1" fontId="3" fillId="8" borderId="0" xfId="0" applyNumberFormat="1" applyFont="1" applyFill="1" applyBorder="1" applyAlignment="1" applyProtection="1">
      <alignment horizontal="right" vertical="center"/>
    </xf>
    <xf numFmtId="0" fontId="50" fillId="12" borderId="0" xfId="0" applyFont="1" applyFill="1" applyBorder="1" applyAlignment="1" applyProtection="1">
      <alignment horizontal="right" vertical="center"/>
    </xf>
    <xf numFmtId="0" fontId="4" fillId="15" borderId="0" xfId="0" applyFont="1" applyFill="1" applyBorder="1" applyAlignment="1" applyProtection="1">
      <alignment vertical="center"/>
      <protection locked="0"/>
    </xf>
    <xf numFmtId="0" fontId="4" fillId="8" borderId="0" xfId="0" applyFont="1" applyFill="1" applyBorder="1" applyAlignment="1" applyProtection="1">
      <alignment vertical="center"/>
    </xf>
    <xf numFmtId="0" fontId="4" fillId="8" borderId="0" xfId="0" applyFont="1" applyFill="1" applyBorder="1" applyAlignment="1" applyProtection="1">
      <alignment horizontal="right" vertical="center"/>
    </xf>
    <xf numFmtId="0" fontId="4" fillId="15" borderId="0" xfId="0" applyNumberFormat="1" applyFont="1" applyFill="1" applyBorder="1" applyAlignment="1" applyProtection="1">
      <alignment horizontal="right" vertical="center"/>
      <protection locked="0"/>
    </xf>
    <xf numFmtId="0" fontId="3" fillId="8" borderId="39" xfId="0" applyFont="1" applyFill="1" applyBorder="1" applyAlignment="1" applyProtection="1">
      <alignment vertical="center"/>
    </xf>
    <xf numFmtId="11" fontId="7" fillId="10" borderId="0" xfId="0" applyNumberFormat="1" applyFont="1" applyFill="1" applyBorder="1"/>
    <xf numFmtId="181" fontId="7" fillId="10" borderId="0" xfId="0" applyNumberFormat="1" applyFont="1" applyFill="1" applyBorder="1"/>
    <xf numFmtId="0" fontId="0" fillId="0" borderId="35" xfId="0" applyBorder="1"/>
    <xf numFmtId="0" fontId="0" fillId="18" borderId="0" xfId="0" applyFill="1" applyBorder="1"/>
    <xf numFmtId="0" fontId="3" fillId="0" borderId="0" xfId="0" applyFont="1" applyBorder="1" applyAlignment="1">
      <alignment horizontal="right"/>
    </xf>
    <xf numFmtId="0" fontId="4" fillId="0" borderId="35" xfId="0" applyFont="1" applyBorder="1" applyAlignment="1">
      <alignment horizontal="right"/>
    </xf>
    <xf numFmtId="0" fontId="4" fillId="0" borderId="25" xfId="0" applyFont="1" applyBorder="1" applyAlignment="1">
      <alignment horizontal="right"/>
    </xf>
    <xf numFmtId="0" fontId="4" fillId="0" borderId="0" xfId="0" applyFont="1" applyAlignment="1">
      <alignment horizontal="right"/>
    </xf>
    <xf numFmtId="0" fontId="4" fillId="0" borderId="35" xfId="0" applyFont="1" applyBorder="1"/>
    <xf numFmtId="0" fontId="4" fillId="0" borderId="25" xfId="0" applyFont="1" applyBorder="1"/>
    <xf numFmtId="0" fontId="4" fillId="0" borderId="0" xfId="0" applyFont="1" applyBorder="1" applyAlignment="1">
      <alignment horizontal="left"/>
    </xf>
    <xf numFmtId="179" fontId="7" fillId="10" borderId="0" xfId="0" applyNumberFormat="1" applyFont="1" applyFill="1" applyBorder="1"/>
    <xf numFmtId="2" fontId="0" fillId="18" borderId="0" xfId="0" applyNumberFormat="1" applyFill="1" applyBorder="1"/>
    <xf numFmtId="1" fontId="0" fillId="10" borderId="0" xfId="0" applyNumberFormat="1" applyFill="1" applyBorder="1"/>
    <xf numFmtId="0" fontId="3" fillId="0" borderId="35" xfId="0" applyFont="1" applyFill="1" applyBorder="1"/>
    <xf numFmtId="0" fontId="3" fillId="0" borderId="24" xfId="0" applyFont="1" applyBorder="1"/>
    <xf numFmtId="0" fontId="7" fillId="0" borderId="25" xfId="0" applyFont="1" applyFill="1" applyBorder="1"/>
    <xf numFmtId="180" fontId="0" fillId="0" borderId="0" xfId="0" applyNumberFormat="1" applyFill="1" applyBorder="1"/>
    <xf numFmtId="0" fontId="4" fillId="0" borderId="45" xfId="0" applyFont="1" applyFill="1" applyBorder="1"/>
    <xf numFmtId="0" fontId="0" fillId="20" borderId="0" xfId="0" applyFill="1" applyBorder="1"/>
    <xf numFmtId="0" fontId="3" fillId="0" borderId="0" xfId="4"/>
    <xf numFmtId="0" fontId="3" fillId="0" borderId="11" xfId="4" applyBorder="1"/>
    <xf numFmtId="2" fontId="3" fillId="0" borderId="0" xfId="4" applyNumberFormat="1"/>
    <xf numFmtId="179" fontId="0" fillId="0" borderId="0" xfId="0" applyNumberFormat="1"/>
    <xf numFmtId="1" fontId="7" fillId="10" borderId="0" xfId="0" applyNumberFormat="1" applyFont="1" applyFill="1" applyBorder="1"/>
    <xf numFmtId="0" fontId="3" fillId="0" borderId="49" xfId="0" applyFont="1" applyBorder="1"/>
    <xf numFmtId="179" fontId="3" fillId="0" borderId="50" xfId="0" applyNumberFormat="1" applyFont="1" applyFill="1" applyBorder="1"/>
    <xf numFmtId="11" fontId="7" fillId="0" borderId="50" xfId="0" applyNumberFormat="1" applyFont="1" applyBorder="1"/>
    <xf numFmtId="0" fontId="53" fillId="0" borderId="50" xfId="0" applyFont="1" applyBorder="1"/>
    <xf numFmtId="0" fontId="49" fillId="0" borderId="0" xfId="0" applyFont="1"/>
    <xf numFmtId="0" fontId="0" fillId="0" borderId="39" xfId="0" applyBorder="1"/>
    <xf numFmtId="0" fontId="50" fillId="0" borderId="0" xfId="0" applyFont="1"/>
    <xf numFmtId="0" fontId="48" fillId="0" borderId="0" xfId="0" applyFont="1" applyFill="1" applyBorder="1"/>
    <xf numFmtId="178" fontId="7" fillId="10" borderId="0" xfId="0" applyNumberFormat="1" applyFont="1" applyFill="1" applyBorder="1"/>
    <xf numFmtId="0" fontId="0" fillId="20" borderId="0" xfId="0" applyFill="1" applyBorder="1" applyAlignment="1">
      <alignment horizontal="right"/>
    </xf>
    <xf numFmtId="179" fontId="27" fillId="18" borderId="0" xfId="0" applyNumberFormat="1" applyFont="1" applyFill="1" applyBorder="1"/>
    <xf numFmtId="0" fontId="0" fillId="19" borderId="0" xfId="0" applyFill="1" applyBorder="1" applyAlignment="1">
      <alignment horizontal="right"/>
    </xf>
    <xf numFmtId="2" fontId="0" fillId="18" borderId="0" xfId="0" applyNumberFormat="1" applyFill="1" applyBorder="1" applyAlignment="1">
      <alignment horizontal="right"/>
    </xf>
    <xf numFmtId="0" fontId="3" fillId="0" borderId="11" xfId="4" applyFill="1" applyBorder="1"/>
    <xf numFmtId="0" fontId="3" fillId="0" borderId="0" xfId="4" applyFont="1"/>
    <xf numFmtId="179" fontId="3" fillId="0" borderId="11" xfId="4" applyNumberFormat="1" applyBorder="1"/>
    <xf numFmtId="0" fontId="0" fillId="19" borderId="0" xfId="0" applyFill="1" applyBorder="1"/>
    <xf numFmtId="2" fontId="3" fillId="0" borderId="0" xfId="0" applyNumberFormat="1" applyFont="1" applyFill="1" applyBorder="1"/>
    <xf numFmtId="0" fontId="3" fillId="20" borderId="0" xfId="0" applyFont="1" applyFill="1" applyBorder="1"/>
    <xf numFmtId="0" fontId="3" fillId="0" borderId="8" xfId="4" applyBorder="1"/>
    <xf numFmtId="189" fontId="0" fillId="10" borderId="0" xfId="0" applyNumberFormat="1" applyFill="1" applyBorder="1"/>
    <xf numFmtId="189" fontId="0" fillId="4" borderId="25" xfId="0" applyNumberFormat="1" applyFill="1" applyBorder="1"/>
    <xf numFmtId="1" fontId="3" fillId="0" borderId="0" xfId="4" applyNumberFormat="1"/>
    <xf numFmtId="0" fontId="0" fillId="0" borderId="0" xfId="0" applyNumberFormat="1" applyBorder="1"/>
    <xf numFmtId="0" fontId="0" fillId="0" borderId="0" xfId="0" applyBorder="1" applyAlignment="1"/>
    <xf numFmtId="0" fontId="15" fillId="0" borderId="33" xfId="0" applyFont="1" applyBorder="1"/>
    <xf numFmtId="0" fontId="15" fillId="0" borderId="0" xfId="0" applyFont="1" applyBorder="1"/>
    <xf numFmtId="0" fontId="54" fillId="3" borderId="43" xfId="4" applyFont="1" applyFill="1" applyBorder="1" applyAlignment="1">
      <alignment horizontal="center" vertical="center"/>
    </xf>
    <xf numFmtId="0" fontId="54" fillId="3" borderId="44" xfId="4" applyFont="1" applyFill="1" applyBorder="1" applyAlignment="1">
      <alignment horizontal="center" vertical="center"/>
    </xf>
    <xf numFmtId="11" fontId="49" fillId="0" borderId="0" xfId="0" applyNumberFormat="1" applyFont="1"/>
    <xf numFmtId="0" fontId="59" fillId="0" borderId="0" xfId="0" applyFont="1" applyFill="1" applyBorder="1"/>
    <xf numFmtId="0" fontId="3" fillId="8" borderId="35" xfId="0" applyFont="1" applyFill="1" applyBorder="1" applyAlignment="1" applyProtection="1">
      <alignment horizontal="right" vertical="center"/>
    </xf>
    <xf numFmtId="0" fontId="3" fillId="0" borderId="24" xfId="0" applyFont="1" applyFill="1" applyBorder="1"/>
    <xf numFmtId="0" fontId="3" fillId="8" borderId="39" xfId="0" applyFont="1" applyFill="1" applyBorder="1" applyAlignment="1" applyProtection="1">
      <alignment horizontal="right"/>
    </xf>
    <xf numFmtId="1" fontId="3" fillId="8" borderId="39" xfId="0" applyNumberFormat="1" applyFont="1" applyFill="1" applyBorder="1" applyProtection="1"/>
    <xf numFmtId="179" fontId="17" fillId="12" borderId="0" xfId="0" applyNumberFormat="1" applyFont="1" applyFill="1" applyBorder="1" applyProtection="1"/>
    <xf numFmtId="0" fontId="3" fillId="12" borderId="0" xfId="0" applyNumberFormat="1" applyFont="1" applyFill="1" applyBorder="1" applyAlignment="1" applyProtection="1">
      <alignment horizontal="right" vertical="center"/>
    </xf>
    <xf numFmtId="178" fontId="17" fillId="12" borderId="0" xfId="0" applyNumberFormat="1" applyFont="1" applyFill="1" applyBorder="1" applyProtection="1"/>
    <xf numFmtId="0" fontId="3" fillId="12" borderId="0" xfId="0" applyFont="1" applyFill="1" applyBorder="1" applyAlignment="1" applyProtection="1">
      <alignment vertical="center"/>
    </xf>
    <xf numFmtId="0" fontId="4" fillId="12" borderId="0" xfId="0" applyFont="1" applyFill="1" applyBorder="1" applyAlignment="1" applyProtection="1">
      <alignment vertical="center"/>
    </xf>
    <xf numFmtId="0" fontId="61" fillId="8" borderId="0" xfId="0" applyFont="1" applyFill="1" applyBorder="1" applyAlignment="1" applyProtection="1">
      <alignment horizontal="right" vertical="center"/>
    </xf>
    <xf numFmtId="178" fontId="3" fillId="0" borderId="0" xfId="4" applyNumberFormat="1"/>
    <xf numFmtId="179" fontId="3" fillId="0" borderId="0" xfId="4" applyNumberFormat="1"/>
    <xf numFmtId="177" fontId="3" fillId="0" borderId="0" xfId="4" applyNumberFormat="1"/>
    <xf numFmtId="10" fontId="3" fillId="0" borderId="0" xfId="4" applyNumberFormat="1"/>
    <xf numFmtId="0" fontId="4" fillId="4" borderId="49" xfId="4" applyFont="1" applyFill="1" applyBorder="1" applyAlignment="1"/>
    <xf numFmtId="0" fontId="7" fillId="4" borderId="35" xfId="4" applyFont="1" applyFill="1" applyBorder="1" applyAlignment="1"/>
    <xf numFmtId="178" fontId="3" fillId="4" borderId="52" xfId="4" applyNumberFormat="1" applyFill="1" applyBorder="1"/>
    <xf numFmtId="178" fontId="4" fillId="4" borderId="49" xfId="4" applyNumberFormat="1" applyFont="1" applyFill="1" applyBorder="1" applyAlignment="1"/>
    <xf numFmtId="178" fontId="7" fillId="4" borderId="50" xfId="4" applyNumberFormat="1" applyFont="1" applyFill="1" applyBorder="1" applyAlignment="1"/>
    <xf numFmtId="0" fontId="7" fillId="4" borderId="50" xfId="4" applyFont="1" applyFill="1" applyBorder="1" applyAlignment="1"/>
    <xf numFmtId="178" fontId="15" fillId="4" borderId="52" xfId="4" applyNumberFormat="1" applyFont="1" applyFill="1" applyBorder="1"/>
    <xf numFmtId="179" fontId="4" fillId="4" borderId="50" xfId="4" applyNumberFormat="1" applyFont="1" applyFill="1" applyBorder="1" applyAlignment="1">
      <alignment horizontal="left"/>
    </xf>
    <xf numFmtId="178" fontId="7" fillId="4" borderId="50" xfId="4" applyNumberFormat="1" applyFont="1" applyFill="1" applyBorder="1" applyAlignment="1">
      <alignment horizontal="center"/>
    </xf>
    <xf numFmtId="178" fontId="4" fillId="4" borderId="49" xfId="4" applyNumberFormat="1" applyFont="1" applyFill="1" applyBorder="1"/>
    <xf numFmtId="177" fontId="3" fillId="4" borderId="50" xfId="4" applyNumberFormat="1" applyFill="1" applyBorder="1"/>
    <xf numFmtId="177" fontId="3" fillId="4" borderId="52" xfId="4" applyNumberFormat="1" applyFill="1" applyBorder="1"/>
    <xf numFmtId="178" fontId="4" fillId="4" borderId="41" xfId="4" applyNumberFormat="1" applyFont="1" applyFill="1" applyBorder="1"/>
    <xf numFmtId="178" fontId="3" fillId="4" borderId="42" xfId="4" applyNumberFormat="1" applyFill="1" applyBorder="1"/>
    <xf numFmtId="178" fontId="4" fillId="4" borderId="41" xfId="4" applyNumberFormat="1" applyFont="1" applyFill="1" applyBorder="1" applyAlignment="1">
      <alignment horizontal="left"/>
    </xf>
    <xf numFmtId="178" fontId="4" fillId="4" borderId="42" xfId="4" applyNumberFormat="1" applyFont="1" applyFill="1" applyBorder="1" applyAlignment="1">
      <alignment horizontal="left"/>
    </xf>
    <xf numFmtId="178" fontId="3" fillId="4" borderId="54" xfId="4" applyNumberFormat="1" applyFill="1" applyBorder="1"/>
    <xf numFmtId="0" fontId="16" fillId="3" borderId="4" xfId="4" applyFont="1" applyFill="1" applyBorder="1" applyAlignment="1">
      <alignment vertical="center"/>
    </xf>
    <xf numFmtId="0" fontId="16" fillId="3" borderId="4" xfId="4" applyFont="1" applyFill="1" applyBorder="1" applyAlignment="1"/>
    <xf numFmtId="0" fontId="12" fillId="3" borderId="0" xfId="4" applyFont="1" applyFill="1"/>
    <xf numFmtId="0" fontId="3" fillId="3" borderId="0" xfId="4" applyFill="1"/>
    <xf numFmtId="0" fontId="4" fillId="2" borderId="5" xfId="4" applyFont="1" applyFill="1" applyBorder="1" applyAlignment="1">
      <alignment horizontal="center" vertical="center" wrapText="1"/>
    </xf>
    <xf numFmtId="0" fontId="4" fillId="2" borderId="6" xfId="4" applyFont="1" applyFill="1" applyBorder="1" applyAlignment="1">
      <alignment horizontal="center" vertical="center" wrapText="1"/>
    </xf>
    <xf numFmtId="178" fontId="4" fillId="2" borderId="7" xfId="4" applyNumberFormat="1" applyFont="1" applyFill="1" applyBorder="1" applyAlignment="1">
      <alignment horizontal="center" vertical="center" wrapText="1"/>
    </xf>
    <xf numFmtId="178" fontId="4" fillId="2" borderId="6" xfId="4" applyNumberFormat="1" applyFont="1" applyFill="1" applyBorder="1" applyAlignment="1">
      <alignment horizontal="center" vertical="center" wrapText="1"/>
    </xf>
    <xf numFmtId="1" fontId="4" fillId="2" borderId="55" xfId="4" applyNumberFormat="1" applyFont="1" applyFill="1" applyBorder="1" applyAlignment="1">
      <alignment horizontal="center" vertical="center" wrapText="1"/>
    </xf>
    <xf numFmtId="1" fontId="4" fillId="2" borderId="6" xfId="4" applyNumberFormat="1" applyFont="1" applyFill="1" applyBorder="1" applyAlignment="1">
      <alignment horizontal="center" vertical="center" wrapText="1"/>
    </xf>
    <xf numFmtId="178" fontId="4" fillId="2" borderId="5" xfId="4" applyNumberFormat="1" applyFont="1" applyFill="1" applyBorder="1" applyAlignment="1">
      <alignment horizontal="center" vertical="center" wrapText="1"/>
    </xf>
    <xf numFmtId="179" fontId="4" fillId="2" borderId="20" xfId="4" applyNumberFormat="1" applyFont="1" applyFill="1" applyBorder="1" applyAlignment="1">
      <alignment horizontal="center" vertical="center" wrapText="1"/>
    </xf>
    <xf numFmtId="177" fontId="4" fillId="2" borderId="6" xfId="4" applyNumberFormat="1" applyFont="1" applyFill="1" applyBorder="1" applyAlignment="1">
      <alignment horizontal="center" vertical="center" wrapText="1"/>
    </xf>
    <xf numFmtId="177" fontId="4" fillId="2" borderId="7" xfId="4" applyNumberFormat="1" applyFont="1" applyFill="1" applyBorder="1" applyAlignment="1">
      <alignment horizontal="center" vertical="center" wrapText="1"/>
    </xf>
    <xf numFmtId="178" fontId="4" fillId="2" borderId="19" xfId="4" applyNumberFormat="1" applyFont="1" applyFill="1" applyBorder="1" applyAlignment="1">
      <alignment horizontal="center" vertical="center" wrapText="1"/>
    </xf>
    <xf numFmtId="178" fontId="4" fillId="2" borderId="21" xfId="4" applyNumberFormat="1" applyFont="1" applyFill="1" applyBorder="1" applyAlignment="1">
      <alignment horizontal="center" vertical="center" wrapText="1"/>
    </xf>
    <xf numFmtId="178" fontId="4" fillId="2" borderId="56" xfId="4" applyNumberFormat="1" applyFont="1" applyFill="1" applyBorder="1" applyAlignment="1">
      <alignment horizontal="center" vertical="center" wrapText="1"/>
    </xf>
    <xf numFmtId="178" fontId="4" fillId="2" borderId="57" xfId="4" applyNumberFormat="1" applyFont="1" applyFill="1" applyBorder="1" applyAlignment="1">
      <alignment horizontal="center" vertical="center" wrapText="1"/>
    </xf>
    <xf numFmtId="178" fontId="4" fillId="2" borderId="58" xfId="4" applyNumberFormat="1" applyFont="1" applyFill="1" applyBorder="1" applyAlignment="1">
      <alignment horizontal="center" vertical="center" wrapText="1"/>
    </xf>
    <xf numFmtId="2" fontId="4" fillId="7" borderId="14" xfId="4" applyNumberFormat="1" applyFont="1" applyFill="1" applyBorder="1" applyAlignment="1">
      <alignment horizontal="center" vertical="center" wrapText="1"/>
    </xf>
    <xf numFmtId="0" fontId="4" fillId="2" borderId="53" xfId="4" applyFont="1" applyFill="1" applyBorder="1" applyAlignment="1">
      <alignment horizontal="center" vertical="center" wrapText="1"/>
    </xf>
    <xf numFmtId="1" fontId="4" fillId="2" borderId="0" xfId="4" quotePrefix="1" applyNumberFormat="1" applyFont="1" applyFill="1" applyBorder="1" applyAlignment="1">
      <alignment horizontal="center" vertical="center" wrapText="1"/>
    </xf>
    <xf numFmtId="0" fontId="3" fillId="0" borderId="0" xfId="4" quotePrefix="1"/>
    <xf numFmtId="0" fontId="4" fillId="2" borderId="0" xfId="4" applyFont="1" applyFill="1" applyBorder="1" applyAlignment="1">
      <alignment horizontal="center" vertical="center" wrapText="1"/>
    </xf>
    <xf numFmtId="0" fontId="4" fillId="5" borderId="8" xfId="4" applyFont="1" applyFill="1" applyBorder="1" applyAlignment="1"/>
    <xf numFmtId="0" fontId="4" fillId="5" borderId="9" xfId="4" applyFont="1" applyFill="1" applyBorder="1" applyAlignment="1"/>
    <xf numFmtId="0" fontId="4" fillId="5" borderId="10" xfId="4" applyFont="1" applyFill="1" applyBorder="1" applyAlignment="1"/>
    <xf numFmtId="0" fontId="4" fillId="5" borderId="10" xfId="4" applyFont="1" applyFill="1" applyBorder="1"/>
    <xf numFmtId="0" fontId="4" fillId="5" borderId="11" xfId="4" applyFont="1" applyFill="1" applyBorder="1"/>
    <xf numFmtId="0" fontId="4" fillId="0" borderId="0" xfId="4" applyFont="1" applyFill="1" applyBorder="1"/>
    <xf numFmtId="181" fontId="3" fillId="0" borderId="0" xfId="4" applyNumberFormat="1"/>
    <xf numFmtId="11" fontId="3" fillId="0" borderId="0" xfId="4" applyNumberFormat="1"/>
    <xf numFmtId="2" fontId="3" fillId="0" borderId="11" xfId="4" applyNumberFormat="1" applyBorder="1"/>
    <xf numFmtId="1" fontId="3" fillId="0" borderId="0" xfId="4" applyNumberFormat="1" applyFont="1" applyProtection="1">
      <protection locked="0"/>
    </xf>
    <xf numFmtId="10" fontId="3" fillId="0" borderId="0" xfId="4" applyNumberFormat="1" applyFont="1" applyProtection="1">
      <protection locked="0"/>
    </xf>
    <xf numFmtId="10" fontId="3" fillId="0" borderId="0" xfId="4" applyNumberFormat="1" applyProtection="1">
      <protection locked="0"/>
    </xf>
    <xf numFmtId="0" fontId="4" fillId="6" borderId="12" xfId="4" applyFont="1" applyFill="1" applyBorder="1"/>
    <xf numFmtId="0" fontId="3" fillId="2" borderId="11" xfId="4" applyFont="1" applyFill="1" applyBorder="1" applyProtection="1">
      <protection locked="0"/>
    </xf>
    <xf numFmtId="0" fontId="3" fillId="0" borderId="11" xfId="4" applyFont="1" applyBorder="1"/>
    <xf numFmtId="0" fontId="4" fillId="6" borderId="11" xfId="4" applyFont="1" applyFill="1" applyBorder="1"/>
    <xf numFmtId="0" fontId="3" fillId="0" borderId="11" xfId="4" applyFont="1" applyFill="1" applyBorder="1"/>
    <xf numFmtId="0" fontId="53" fillId="0" borderId="11" xfId="4" applyFont="1" applyBorder="1"/>
    <xf numFmtId="0" fontId="3" fillId="4" borderId="11" xfId="4" applyFont="1" applyFill="1" applyBorder="1"/>
    <xf numFmtId="0" fontId="3" fillId="4" borderId="11" xfId="4" applyFont="1" applyFill="1" applyBorder="1" applyProtection="1">
      <protection locked="0"/>
    </xf>
    <xf numFmtId="0" fontId="14" fillId="3" borderId="0" xfId="4" applyFont="1" applyFill="1"/>
    <xf numFmtId="0" fontId="4" fillId="5" borderId="8" xfId="4" applyFont="1" applyFill="1" applyBorder="1"/>
    <xf numFmtId="0" fontId="4" fillId="5" borderId="9" xfId="4" applyFont="1" applyFill="1" applyBorder="1"/>
    <xf numFmtId="0" fontId="4" fillId="5" borderId="15" xfId="4" applyFont="1" applyFill="1" applyBorder="1"/>
    <xf numFmtId="0" fontId="3" fillId="4" borderId="11" xfId="4" applyFill="1" applyBorder="1"/>
    <xf numFmtId="179" fontId="15" fillId="22" borderId="11" xfId="4" applyNumberFormat="1" applyFont="1" applyFill="1" applyBorder="1"/>
    <xf numFmtId="0" fontId="3" fillId="0" borderId="15" xfId="4" applyFont="1" applyBorder="1"/>
    <xf numFmtId="11" fontId="3" fillId="0" borderId="8" xfId="4" applyNumberFormat="1" applyBorder="1"/>
    <xf numFmtId="11" fontId="3" fillId="0" borderId="11" xfId="4" applyNumberFormat="1" applyBorder="1"/>
    <xf numFmtId="1" fontId="15" fillId="22" borderId="11" xfId="4" applyNumberFormat="1" applyFont="1" applyFill="1" applyBorder="1"/>
    <xf numFmtId="1" fontId="62" fillId="22" borderId="11" xfId="4" applyNumberFormat="1" applyFont="1" applyFill="1" applyBorder="1"/>
    <xf numFmtId="1" fontId="3" fillId="0" borderId="8" xfId="4" applyNumberFormat="1" applyBorder="1"/>
    <xf numFmtId="0" fontId="3" fillId="23" borderId="11" xfId="4" applyFill="1" applyBorder="1"/>
    <xf numFmtId="1" fontId="15" fillId="22" borderId="11" xfId="4" applyNumberFormat="1" applyFont="1" applyFill="1" applyBorder="1" applyProtection="1">
      <protection locked="0"/>
    </xf>
    <xf numFmtId="188" fontId="3" fillId="0" borderId="11" xfId="4" applyNumberFormat="1" applyBorder="1"/>
    <xf numFmtId="0" fontId="4" fillId="6" borderId="8" xfId="4" applyFont="1" applyFill="1" applyBorder="1"/>
    <xf numFmtId="0" fontId="4" fillId="0" borderId="0" xfId="4" applyFont="1" applyFill="1" applyBorder="1" applyAlignment="1">
      <alignment horizontal="right"/>
    </xf>
    <xf numFmtId="0" fontId="3" fillId="6" borderId="8" xfId="4" applyFill="1" applyBorder="1"/>
    <xf numFmtId="0" fontId="3" fillId="0" borderId="47" xfId="4" applyFont="1" applyFill="1" applyBorder="1"/>
    <xf numFmtId="0" fontId="53" fillId="0" borderId="15" xfId="4" applyFont="1" applyBorder="1"/>
    <xf numFmtId="0" fontId="3" fillId="6" borderId="8" xfId="4" applyFont="1" applyFill="1" applyBorder="1"/>
    <xf numFmtId="189" fontId="3" fillId="0" borderId="47" xfId="4" applyNumberFormat="1" applyFont="1" applyFill="1" applyBorder="1"/>
    <xf numFmtId="188" fontId="3" fillId="0" borderId="11" xfId="4" applyNumberFormat="1" applyFont="1" applyFill="1" applyBorder="1"/>
    <xf numFmtId="0" fontId="4" fillId="0" borderId="11" xfId="4" applyFont="1" applyFill="1" applyBorder="1"/>
    <xf numFmtId="0" fontId="4" fillId="6" borderId="48" xfId="4" applyFont="1" applyFill="1" applyBorder="1"/>
    <xf numFmtId="0" fontId="3" fillId="0" borderId="16" xfId="4" applyFont="1" applyBorder="1"/>
    <xf numFmtId="11" fontId="3" fillId="0" borderId="48" xfId="4" applyNumberFormat="1" applyBorder="1"/>
    <xf numFmtId="0" fontId="3" fillId="0" borderId="12" xfId="4" applyFont="1" applyFill="1" applyBorder="1"/>
    <xf numFmtId="0" fontId="4" fillId="5" borderId="0" xfId="4" applyFont="1" applyFill="1"/>
    <xf numFmtId="0" fontId="4" fillId="5" borderId="0" xfId="4" applyFont="1" applyFill="1" applyBorder="1"/>
    <xf numFmtId="0" fontId="4" fillId="5" borderId="14" xfId="4" applyFont="1" applyFill="1" applyBorder="1"/>
    <xf numFmtId="0" fontId="3" fillId="0" borderId="11" xfId="4" applyFont="1" applyFill="1" applyBorder="1" applyProtection="1">
      <protection locked="0"/>
    </xf>
    <xf numFmtId="0" fontId="3" fillId="6" borderId="9" xfId="4" applyFill="1" applyBorder="1"/>
    <xf numFmtId="0" fontId="3" fillId="0" borderId="47" xfId="4" applyFont="1" applyFill="1" applyBorder="1" applyProtection="1">
      <protection locked="0"/>
    </xf>
    <xf numFmtId="0" fontId="4" fillId="5" borderId="4" xfId="4" applyFont="1" applyFill="1" applyBorder="1" applyAlignment="1"/>
    <xf numFmtId="0" fontId="4" fillId="5" borderId="12" xfId="4" applyFont="1" applyFill="1" applyBorder="1"/>
    <xf numFmtId="0" fontId="3" fillId="6" borderId="11" xfId="4" applyFill="1" applyBorder="1"/>
    <xf numFmtId="0" fontId="3" fillId="0" borderId="51" xfId="4" applyFont="1" applyFill="1" applyBorder="1" applyProtection="1">
      <protection locked="0"/>
    </xf>
    <xf numFmtId="0" fontId="3" fillId="21" borderId="51" xfId="4" applyFont="1" applyFill="1" applyBorder="1" applyProtection="1">
      <protection locked="0"/>
    </xf>
    <xf numFmtId="0" fontId="3" fillId="0" borderId="0" xfId="4" applyFont="1" applyFill="1" applyBorder="1"/>
    <xf numFmtId="189" fontId="3" fillId="0" borderId="11" xfId="4" applyNumberFormat="1" applyBorder="1"/>
    <xf numFmtId="0" fontId="4" fillId="5" borderId="0" xfId="4" applyFont="1" applyFill="1" applyBorder="1" applyAlignment="1" applyProtection="1">
      <protection locked="0"/>
    </xf>
    <xf numFmtId="0" fontId="4" fillId="5" borderId="13" xfId="4" applyFont="1" applyFill="1" applyBorder="1"/>
    <xf numFmtId="0" fontId="3" fillId="6" borderId="11" xfId="4" applyFont="1" applyFill="1" applyBorder="1"/>
    <xf numFmtId="0" fontId="4" fillId="0" borderId="0" xfId="4" applyFont="1" applyAlignment="1">
      <alignment horizontal="right"/>
    </xf>
    <xf numFmtId="180" fontId="58" fillId="0" borderId="0" xfId="4" applyNumberFormat="1" applyFont="1"/>
    <xf numFmtId="0" fontId="58" fillId="0" borderId="0" xfId="4" applyFont="1"/>
    <xf numFmtId="0" fontId="48" fillId="0" borderId="0" xfId="4" applyNumberFormat="1" applyFont="1"/>
    <xf numFmtId="179" fontId="3" fillId="0" borderId="0" xfId="4" applyNumberFormat="1" applyFont="1"/>
    <xf numFmtId="178" fontId="3" fillId="0" borderId="0" xfId="4" applyNumberFormat="1" applyFont="1"/>
    <xf numFmtId="0" fontId="4" fillId="0" borderId="0" xfId="4" applyNumberFormat="1" applyFont="1"/>
    <xf numFmtId="2" fontId="4" fillId="0" borderId="0" xfId="4" applyNumberFormat="1" applyFont="1"/>
    <xf numFmtId="0" fontId="4" fillId="0" borderId="0" xfId="4" applyFont="1"/>
    <xf numFmtId="178" fontId="48" fillId="0" borderId="0" xfId="4" applyNumberFormat="1" applyFont="1"/>
    <xf numFmtId="1" fontId="4" fillId="0" borderId="0" xfId="4" applyNumberFormat="1" applyFont="1"/>
    <xf numFmtId="178" fontId="4" fillId="0" borderId="0" xfId="4" applyNumberFormat="1" applyFont="1"/>
    <xf numFmtId="1" fontId="4" fillId="0" borderId="0" xfId="4" applyNumberFormat="1" applyFont="1" applyBorder="1"/>
    <xf numFmtId="0" fontId="3" fillId="0" borderId="0" xfId="4" applyNumberFormat="1"/>
    <xf numFmtId="2" fontId="7" fillId="4" borderId="50" xfId="4" applyNumberFormat="1" applyFont="1" applyFill="1" applyBorder="1" applyAlignment="1"/>
    <xf numFmtId="2" fontId="4" fillId="2" borderId="53" xfId="4" applyNumberFormat="1" applyFont="1" applyFill="1" applyBorder="1" applyAlignment="1">
      <alignment horizontal="center" vertical="center" wrapText="1"/>
    </xf>
    <xf numFmtId="2" fontId="7" fillId="4" borderId="52" xfId="4" applyNumberFormat="1" applyFont="1" applyFill="1" applyBorder="1" applyAlignment="1"/>
    <xf numFmtId="2" fontId="4" fillId="2" borderId="18" xfId="4" applyNumberFormat="1" applyFont="1" applyFill="1" applyBorder="1" applyAlignment="1">
      <alignment horizontal="center" vertical="center" wrapText="1"/>
    </xf>
    <xf numFmtId="179" fontId="7" fillId="4" borderId="50" xfId="4" applyNumberFormat="1" applyFont="1" applyFill="1" applyBorder="1" applyAlignment="1"/>
    <xf numFmtId="179" fontId="4" fillId="2" borderId="42" xfId="4" applyNumberFormat="1" applyFont="1" applyFill="1" applyBorder="1" applyAlignment="1">
      <alignment horizontal="center" vertical="center" wrapText="1"/>
    </xf>
    <xf numFmtId="191" fontId="3" fillId="0" borderId="0" xfId="4" applyNumberFormat="1"/>
    <xf numFmtId="191" fontId="7" fillId="4" borderId="50" xfId="4" applyNumberFormat="1" applyFont="1" applyFill="1" applyBorder="1" applyAlignment="1"/>
    <xf numFmtId="191" fontId="4" fillId="2" borderId="6" xfId="4" applyNumberFormat="1" applyFont="1" applyFill="1" applyBorder="1" applyAlignment="1">
      <alignment horizontal="center" vertical="center" wrapText="1"/>
    </xf>
    <xf numFmtId="191" fontId="4" fillId="2" borderId="19" xfId="4" applyNumberFormat="1" applyFont="1" applyFill="1" applyBorder="1" applyAlignment="1">
      <alignment horizontal="center" vertical="center" wrapText="1"/>
    </xf>
    <xf numFmtId="191" fontId="4" fillId="2" borderId="41" xfId="4" applyNumberFormat="1" applyFont="1" applyFill="1" applyBorder="1" applyAlignment="1">
      <alignment horizontal="center" vertical="center" wrapText="1"/>
    </xf>
    <xf numFmtId="191" fontId="4" fillId="2" borderId="53" xfId="4" applyNumberFormat="1" applyFont="1" applyFill="1" applyBorder="1" applyAlignment="1">
      <alignment horizontal="center" vertical="center" wrapText="1"/>
    </xf>
    <xf numFmtId="191" fontId="4" fillId="2" borderId="42" xfId="4" applyNumberFormat="1" applyFont="1" applyFill="1" applyBorder="1" applyAlignment="1">
      <alignment horizontal="center" vertical="center" wrapText="1"/>
    </xf>
    <xf numFmtId="191" fontId="4" fillId="0" borderId="0" xfId="4" applyNumberFormat="1" applyFont="1"/>
    <xf numFmtId="0" fontId="0" fillId="0" borderId="0" xfId="0" applyNumberFormat="1" applyBorder="1" applyAlignment="1">
      <alignment horizontal="left"/>
    </xf>
    <xf numFmtId="2" fontId="4" fillId="2" borderId="58" xfId="4" applyNumberFormat="1" applyFont="1" applyFill="1" applyBorder="1" applyAlignment="1">
      <alignment horizontal="center" vertical="center" wrapText="1"/>
    </xf>
    <xf numFmtId="2" fontId="4" fillId="2" borderId="21" xfId="4" applyNumberFormat="1" applyFont="1" applyFill="1" applyBorder="1" applyAlignment="1">
      <alignment horizontal="center" vertical="center" wrapText="1"/>
    </xf>
    <xf numFmtId="0" fontId="4" fillId="8" borderId="0" xfId="0" applyFont="1" applyFill="1" applyBorder="1" applyAlignment="1" applyProtection="1">
      <alignment vertical="top"/>
    </xf>
    <xf numFmtId="180" fontId="3" fillId="2" borderId="11" xfId="4" applyNumberFormat="1" applyFont="1" applyFill="1" applyBorder="1" applyProtection="1">
      <protection locked="0"/>
    </xf>
    <xf numFmtId="1" fontId="3" fillId="0" borderId="47" xfId="4" applyNumberFormat="1" applyFont="1" applyFill="1" applyBorder="1"/>
    <xf numFmtId="178" fontId="4" fillId="0" borderId="0" xfId="4" applyNumberFormat="1" applyFont="1" applyFill="1" applyBorder="1"/>
    <xf numFmtId="0" fontId="0" fillId="12" borderId="0" xfId="0" applyFill="1"/>
    <xf numFmtId="0" fontId="0" fillId="12" borderId="0" xfId="0" applyFill="1" applyBorder="1"/>
    <xf numFmtId="0" fontId="0" fillId="12" borderId="0" xfId="0" applyFill="1" applyAlignment="1"/>
    <xf numFmtId="0" fontId="0" fillId="0" borderId="0" xfId="0" applyAlignment="1"/>
    <xf numFmtId="0" fontId="64" fillId="0" borderId="0" xfId="0" applyFont="1" applyFill="1"/>
    <xf numFmtId="0" fontId="0" fillId="0" borderId="0" xfId="0" applyFill="1" applyAlignment="1"/>
    <xf numFmtId="0" fontId="15" fillId="0" borderId="0" xfId="0" applyFont="1" applyFill="1"/>
    <xf numFmtId="0" fontId="62" fillId="0" borderId="0" xfId="1" applyFont="1" applyFill="1"/>
    <xf numFmtId="0" fontId="0" fillId="0" borderId="0" xfId="0" applyAlignment="1">
      <alignment horizontal="left"/>
    </xf>
    <xf numFmtId="1" fontId="15" fillId="4" borderId="0" xfId="0" applyNumberFormat="1" applyFont="1" applyFill="1" applyBorder="1" applyAlignment="1">
      <alignment horizontal="right"/>
    </xf>
    <xf numFmtId="1" fontId="49" fillId="8" borderId="0" xfId="0" applyNumberFormat="1" applyFont="1" applyFill="1" applyBorder="1" applyAlignment="1" applyProtection="1">
      <alignment horizontal="right"/>
    </xf>
    <xf numFmtId="1" fontId="0" fillId="0" borderId="0" xfId="0" applyNumberFormat="1" applyFill="1" applyBorder="1"/>
    <xf numFmtId="2" fontId="0" fillId="0" borderId="0" xfId="0" applyNumberFormat="1" applyFill="1" applyBorder="1"/>
    <xf numFmtId="0" fontId="3" fillId="8" borderId="25" xfId="0" applyFont="1" applyFill="1" applyBorder="1" applyAlignment="1" applyProtection="1">
      <alignment horizontal="right"/>
    </xf>
    <xf numFmtId="1" fontId="50" fillId="15" borderId="0" xfId="0" applyNumberFormat="1" applyFont="1" applyFill="1" applyBorder="1" applyAlignment="1" applyProtection="1">
      <alignment horizontal="right"/>
      <protection locked="0"/>
    </xf>
    <xf numFmtId="0" fontId="48" fillId="0" borderId="0" xfId="0" applyFont="1" applyBorder="1" applyAlignment="1">
      <alignment horizontal="left"/>
    </xf>
    <xf numFmtId="0" fontId="48" fillId="0" borderId="0" xfId="0" applyFont="1" applyBorder="1" applyAlignment="1">
      <alignment horizontal="right"/>
    </xf>
    <xf numFmtId="0" fontId="0" fillId="0" borderId="22" xfId="0" applyBorder="1" applyAlignment="1">
      <alignment horizontal="right"/>
    </xf>
    <xf numFmtId="0" fontId="4" fillId="0" borderId="0" xfId="0" applyFont="1" applyBorder="1" applyAlignment="1">
      <alignment horizontal="right"/>
    </xf>
    <xf numFmtId="0" fontId="48" fillId="0" borderId="0" xfId="4" applyFont="1" applyBorder="1" applyAlignment="1">
      <alignment horizontal="left"/>
    </xf>
    <xf numFmtId="0" fontId="48" fillId="0" borderId="0" xfId="0" applyFont="1" applyBorder="1" applyAlignment="1">
      <alignment horizontal="center"/>
    </xf>
    <xf numFmtId="0" fontId="21" fillId="0" borderId="49" xfId="0" applyFont="1" applyBorder="1"/>
    <xf numFmtId="0" fontId="0" fillId="0" borderId="50" xfId="0" applyBorder="1"/>
    <xf numFmtId="0" fontId="4" fillId="0" borderId="50" xfId="0" applyFont="1" applyBorder="1"/>
    <xf numFmtId="0" fontId="4" fillId="0" borderId="22" xfId="4" applyFont="1" applyBorder="1" applyAlignment="1">
      <alignment horizontal="right"/>
    </xf>
    <xf numFmtId="0" fontId="3" fillId="0" borderId="22" xfId="4" applyBorder="1" applyAlignment="1">
      <alignment horizontal="right"/>
    </xf>
    <xf numFmtId="0" fontId="3" fillId="12" borderId="49" xfId="0" applyFont="1" applyFill="1" applyBorder="1" applyProtection="1"/>
    <xf numFmtId="0" fontId="3" fillId="0" borderId="0" xfId="0" applyFont="1" applyBorder="1" applyAlignment="1">
      <alignment horizontal="left"/>
    </xf>
    <xf numFmtId="0" fontId="3" fillId="12" borderId="0" xfId="0" applyFont="1" applyFill="1" applyBorder="1"/>
    <xf numFmtId="1" fontId="3" fillId="8" borderId="25" xfId="0" applyNumberFormat="1" applyFont="1" applyFill="1" applyBorder="1" applyAlignment="1" applyProtection="1">
      <alignment horizontal="right" vertical="center"/>
    </xf>
    <xf numFmtId="0" fontId="3" fillId="8" borderId="59" xfId="0" applyFont="1" applyFill="1" applyBorder="1" applyAlignment="1" applyProtection="1">
      <alignment vertical="center"/>
    </xf>
    <xf numFmtId="0" fontId="3" fillId="8" borderId="60" xfId="0" applyFont="1" applyFill="1" applyBorder="1" applyAlignment="1" applyProtection="1">
      <alignment vertical="center"/>
    </xf>
    <xf numFmtId="0" fontId="3" fillId="8" borderId="60" xfId="0" applyFont="1" applyFill="1" applyBorder="1" applyAlignment="1" applyProtection="1">
      <alignment horizontal="right" vertical="center"/>
    </xf>
    <xf numFmtId="0" fontId="4" fillId="8" borderId="60" xfId="0" applyFont="1" applyFill="1" applyBorder="1" applyAlignment="1" applyProtection="1">
      <alignment horizontal="right" vertical="center"/>
    </xf>
    <xf numFmtId="0" fontId="3" fillId="8" borderId="60" xfId="0" applyNumberFormat="1" applyFont="1" applyFill="1" applyBorder="1" applyAlignment="1" applyProtection="1">
      <alignment horizontal="right" vertical="center"/>
    </xf>
    <xf numFmtId="0" fontId="3" fillId="8" borderId="61" xfId="0" applyFont="1" applyFill="1" applyBorder="1" applyAlignment="1" applyProtection="1">
      <alignment vertical="center"/>
    </xf>
    <xf numFmtId="0" fontId="3" fillId="0" borderId="0" xfId="0" applyFont="1" applyAlignment="1">
      <alignment horizontal="right"/>
    </xf>
    <xf numFmtId="0" fontId="66" fillId="0" borderId="22" xfId="0" applyFont="1" applyBorder="1"/>
    <xf numFmtId="0" fontId="3" fillId="15" borderId="0" xfId="0" applyFont="1" applyFill="1" applyBorder="1"/>
    <xf numFmtId="0" fontId="24" fillId="24" borderId="22" xfId="0" applyFont="1" applyFill="1" applyBorder="1" applyAlignment="1" applyProtection="1">
      <alignment horizontal="left"/>
    </xf>
    <xf numFmtId="0" fontId="24" fillId="24" borderId="0" xfId="0" applyFont="1" applyFill="1" applyBorder="1" applyAlignment="1" applyProtection="1">
      <alignment horizontal="left"/>
    </xf>
    <xf numFmtId="0" fontId="23" fillId="24" borderId="22" xfId="0" applyFont="1" applyFill="1" applyBorder="1" applyAlignment="1" applyProtection="1">
      <alignment horizontal="left" vertical="center"/>
    </xf>
    <xf numFmtId="0" fontId="23" fillId="24" borderId="0" xfId="0" applyFont="1" applyFill="1" applyBorder="1" applyAlignment="1" applyProtection="1">
      <alignment horizontal="left" vertical="center"/>
    </xf>
    <xf numFmtId="0" fontId="52" fillId="24" borderId="0" xfId="0" applyFont="1" applyFill="1" applyBorder="1" applyAlignment="1" applyProtection="1">
      <alignment horizontal="left" vertical="center"/>
    </xf>
    <xf numFmtId="0" fontId="20" fillId="24" borderId="0" xfId="0" applyFont="1" applyFill="1" applyBorder="1" applyAlignment="1" applyProtection="1">
      <alignment vertical="center"/>
    </xf>
    <xf numFmtId="0" fontId="23" fillId="24" borderId="0" xfId="0" quotePrefix="1" applyFont="1" applyFill="1" applyBorder="1" applyAlignment="1" applyProtection="1">
      <alignment vertical="center"/>
    </xf>
    <xf numFmtId="0" fontId="26" fillId="24" borderId="0" xfId="0" applyFont="1" applyFill="1" applyBorder="1" applyAlignment="1" applyProtection="1">
      <alignment vertical="center"/>
    </xf>
    <xf numFmtId="0" fontId="26" fillId="24" borderId="0" xfId="0" applyFont="1" applyFill="1" applyBorder="1" applyProtection="1"/>
    <xf numFmtId="0" fontId="17" fillId="24" borderId="0" xfId="0" applyFont="1" applyFill="1" applyBorder="1" applyProtection="1"/>
    <xf numFmtId="0" fontId="28" fillId="24" borderId="24" xfId="0" applyFont="1" applyFill="1" applyBorder="1" applyProtection="1"/>
    <xf numFmtId="0" fontId="28" fillId="24" borderId="25" xfId="0" applyFont="1" applyFill="1" applyBorder="1" applyProtection="1"/>
    <xf numFmtId="0" fontId="20" fillId="24" borderId="25" xfId="0" applyFont="1" applyFill="1" applyBorder="1" applyProtection="1"/>
    <xf numFmtId="0" fontId="25" fillId="24" borderId="25" xfId="0" applyFont="1" applyFill="1" applyBorder="1" applyProtection="1"/>
    <xf numFmtId="0" fontId="67" fillId="24" borderId="0" xfId="3" applyFont="1" applyFill="1" applyAlignment="1" applyProtection="1"/>
    <xf numFmtId="0" fontId="67" fillId="24" borderId="0" xfId="3" applyFont="1" applyFill="1" applyBorder="1" applyAlignment="1" applyProtection="1">
      <alignment horizontal="left" vertical="center"/>
    </xf>
    <xf numFmtId="182" fontId="17" fillId="24" borderId="0" xfId="0" applyNumberFormat="1" applyFont="1" applyFill="1" applyBorder="1" applyAlignment="1" applyProtection="1">
      <alignment horizontal="center"/>
    </xf>
    <xf numFmtId="0" fontId="20" fillId="24" borderId="37" xfId="0" applyFont="1" applyFill="1" applyBorder="1" applyProtection="1"/>
    <xf numFmtId="0" fontId="20" fillId="24" borderId="35" xfId="0" applyFont="1" applyFill="1" applyBorder="1" applyProtection="1"/>
    <xf numFmtId="0" fontId="17" fillId="24" borderId="35" xfId="0" applyFont="1" applyFill="1" applyBorder="1" applyProtection="1"/>
    <xf numFmtId="0" fontId="4" fillId="5" borderId="48" xfId="4" applyFont="1" applyFill="1" applyBorder="1" applyAlignment="1"/>
    <xf numFmtId="179" fontId="0" fillId="10" borderId="2" xfId="0" applyNumberFormat="1" applyFill="1" applyBorder="1"/>
    <xf numFmtId="179" fontId="0" fillId="18" borderId="0" xfId="0" applyNumberFormat="1" applyFill="1" applyBorder="1"/>
    <xf numFmtId="179" fontId="27" fillId="10" borderId="0" xfId="0" applyNumberFormat="1" applyFont="1" applyFill="1" applyBorder="1"/>
    <xf numFmtId="0" fontId="3" fillId="8" borderId="62" xfId="0" applyFont="1" applyFill="1" applyBorder="1" applyProtection="1"/>
    <xf numFmtId="0" fontId="3" fillId="8" borderId="63" xfId="0" applyFont="1" applyFill="1" applyBorder="1" applyProtection="1"/>
    <xf numFmtId="0" fontId="3" fillId="8" borderId="63" xfId="0" applyFont="1" applyFill="1" applyBorder="1" applyAlignment="1" applyProtection="1">
      <alignment horizontal="right"/>
    </xf>
    <xf numFmtId="0" fontId="17" fillId="12" borderId="22" xfId="0" applyFont="1" applyFill="1" applyBorder="1" applyProtection="1"/>
    <xf numFmtId="179" fontId="27" fillId="0" borderId="0" xfId="0" applyNumberFormat="1" applyFont="1" applyFill="1" applyBorder="1"/>
    <xf numFmtId="0" fontId="50" fillId="12" borderId="61" xfId="0" applyNumberFormat="1" applyFont="1" applyFill="1" applyBorder="1" applyAlignment="1" applyProtection="1">
      <alignment vertical="center"/>
    </xf>
    <xf numFmtId="0" fontId="4" fillId="12" borderId="23" xfId="0" applyNumberFormat="1" applyFont="1" applyFill="1" applyBorder="1" applyAlignment="1" applyProtection="1">
      <alignment vertical="center"/>
    </xf>
    <xf numFmtId="1" fontId="3" fillId="0" borderId="64" xfId="0" applyNumberFormat="1" applyFont="1" applyFill="1" applyBorder="1" applyAlignment="1" applyProtection="1">
      <alignment vertical="center"/>
    </xf>
    <xf numFmtId="0" fontId="4" fillId="12" borderId="23" xfId="0" applyFont="1" applyFill="1" applyBorder="1" applyProtection="1"/>
    <xf numFmtId="0" fontId="4" fillId="12" borderId="23" xfId="0" applyFont="1" applyFill="1" applyBorder="1" applyAlignment="1" applyProtection="1">
      <alignment vertical="center"/>
    </xf>
    <xf numFmtId="0" fontId="3" fillId="12" borderId="26" xfId="0" applyFont="1" applyFill="1" applyBorder="1" applyProtection="1"/>
    <xf numFmtId="0" fontId="4" fillId="8" borderId="39" xfId="0" applyFont="1" applyFill="1" applyBorder="1" applyAlignment="1" applyProtection="1">
      <alignment horizontal="right" vertical="center"/>
    </xf>
    <xf numFmtId="0" fontId="4" fillId="15" borderId="39" xfId="0" applyNumberFormat="1" applyFont="1" applyFill="1" applyBorder="1" applyAlignment="1" applyProtection="1">
      <alignment horizontal="right" vertical="center"/>
      <protection locked="0"/>
    </xf>
    <xf numFmtId="0" fontId="4" fillId="8" borderId="26" xfId="0" applyFont="1" applyFill="1" applyBorder="1" applyAlignment="1" applyProtection="1">
      <alignment vertical="center"/>
    </xf>
    <xf numFmtId="1" fontId="3" fillId="8" borderId="0" xfId="0" applyNumberFormat="1" applyFont="1" applyFill="1" applyBorder="1" applyAlignment="1" applyProtection="1"/>
    <xf numFmtId="0" fontId="0" fillId="0" borderId="63" xfId="0" applyBorder="1"/>
    <xf numFmtId="0" fontId="4" fillId="0" borderId="0" xfId="4" applyFont="1" applyBorder="1" applyAlignment="1">
      <alignment horizontal="left"/>
    </xf>
    <xf numFmtId="0" fontId="48" fillId="0" borderId="0" xfId="4" applyFont="1" applyBorder="1" applyAlignment="1">
      <alignment horizontal="center"/>
    </xf>
    <xf numFmtId="0" fontId="48" fillId="0" borderId="0" xfId="0" applyFont="1" applyAlignment="1">
      <alignment horizontal="center"/>
    </xf>
    <xf numFmtId="0" fontId="70" fillId="0" borderId="0" xfId="4" applyFont="1" applyBorder="1" applyAlignment="1">
      <alignment horizontal="right"/>
    </xf>
    <xf numFmtId="0" fontId="70" fillId="0" borderId="22" xfId="4" applyFont="1" applyBorder="1" applyAlignment="1">
      <alignment horizontal="right"/>
    </xf>
    <xf numFmtId="0" fontId="70" fillId="0" borderId="0" xfId="0" applyFont="1" applyAlignment="1">
      <alignment horizontal="right"/>
    </xf>
    <xf numFmtId="0" fontId="70" fillId="0" borderId="0" xfId="0" applyFont="1" applyBorder="1" applyAlignment="1">
      <alignment horizontal="right"/>
    </xf>
    <xf numFmtId="0" fontId="66" fillId="0" borderId="0" xfId="0" applyFont="1"/>
    <xf numFmtId="178" fontId="7" fillId="4" borderId="63" xfId="4" applyNumberFormat="1" applyFont="1" applyFill="1" applyBorder="1" applyAlignment="1"/>
    <xf numFmtId="180" fontId="3" fillId="0" borderId="0" xfId="4" applyNumberFormat="1"/>
    <xf numFmtId="0" fontId="4" fillId="2" borderId="20" xfId="4" applyFont="1" applyFill="1" applyBorder="1" applyAlignment="1">
      <alignment horizontal="center" vertical="center" wrapText="1"/>
    </xf>
    <xf numFmtId="0" fontId="48" fillId="0" borderId="0" xfId="0" applyFont="1"/>
    <xf numFmtId="2" fontId="4" fillId="2" borderId="56" xfId="4" applyNumberFormat="1" applyFont="1" applyFill="1" applyBorder="1" applyAlignment="1">
      <alignment horizontal="center" vertical="center" wrapText="1"/>
    </xf>
    <xf numFmtId="2" fontId="4" fillId="2" borderId="57" xfId="4" applyNumberFormat="1" applyFont="1" applyFill="1" applyBorder="1" applyAlignment="1">
      <alignment horizontal="center" vertical="center" wrapText="1"/>
    </xf>
    <xf numFmtId="2" fontId="7" fillId="4" borderId="41" xfId="4" applyNumberFormat="1" applyFont="1" applyFill="1" applyBorder="1" applyAlignment="1"/>
    <xf numFmtId="2" fontId="7" fillId="4" borderId="67" xfId="4" applyNumberFormat="1" applyFont="1" applyFill="1" applyBorder="1" applyAlignment="1"/>
    <xf numFmtId="2" fontId="7" fillId="4" borderId="18" xfId="4" applyNumberFormat="1" applyFont="1" applyFill="1" applyBorder="1" applyAlignment="1"/>
    <xf numFmtId="178" fontId="4" fillId="4" borderId="41" xfId="4" applyNumberFormat="1" applyFont="1" applyFill="1" applyBorder="1" applyAlignment="1"/>
    <xf numFmtId="178" fontId="3" fillId="4" borderId="67" xfId="4" applyNumberFormat="1" applyFill="1" applyBorder="1"/>
    <xf numFmtId="0" fontId="3" fillId="8" borderId="23" xfId="0" applyFont="1" applyFill="1" applyBorder="1" applyAlignment="1" applyProtection="1"/>
    <xf numFmtId="0" fontId="3" fillId="8" borderId="62" xfId="0" applyFont="1" applyFill="1" applyBorder="1" applyAlignment="1" applyProtection="1">
      <alignment vertical="center"/>
    </xf>
    <xf numFmtId="0" fontId="22" fillId="8" borderId="24" xfId="0" applyFont="1" applyFill="1" applyBorder="1" applyAlignment="1" applyProtection="1">
      <alignment vertical="center"/>
    </xf>
    <xf numFmtId="194" fontId="3" fillId="17" borderId="11" xfId="4" applyNumberFormat="1" applyFill="1" applyBorder="1" applyAlignment="1">
      <alignment horizontal="center" vertical="center"/>
    </xf>
    <xf numFmtId="177" fontId="3" fillId="0" borderId="0" xfId="7" applyNumberFormat="1" applyFont="1"/>
    <xf numFmtId="0" fontId="3" fillId="0" borderId="0" xfId="0" quotePrefix="1" applyFont="1"/>
    <xf numFmtId="0" fontId="48" fillId="0" borderId="0" xfId="0" applyFont="1" applyAlignment="1">
      <alignment horizontal="left"/>
    </xf>
    <xf numFmtId="0" fontId="4" fillId="8" borderId="11" xfId="4" applyFont="1" applyFill="1" applyBorder="1" applyAlignment="1">
      <alignment horizontal="center" vertical="center"/>
    </xf>
    <xf numFmtId="180" fontId="0" fillId="0" borderId="0" xfId="0" applyNumberFormat="1"/>
    <xf numFmtId="0" fontId="3" fillId="8" borderId="0" xfId="4" applyFill="1" applyAlignment="1">
      <alignment horizontal="left"/>
    </xf>
    <xf numFmtId="49" fontId="3" fillId="8" borderId="0" xfId="4" applyNumberFormat="1" applyFill="1" applyAlignment="1">
      <alignment horizontal="left"/>
    </xf>
    <xf numFmtId="0" fontId="3" fillId="8" borderId="0" xfId="4" applyFill="1" applyAlignment="1">
      <alignment horizontal="left" vertical="center"/>
    </xf>
    <xf numFmtId="0" fontId="4" fillId="8" borderId="11" xfId="4" applyFont="1" applyFill="1" applyBorder="1" applyAlignment="1">
      <alignment vertical="center"/>
    </xf>
    <xf numFmtId="0" fontId="4" fillId="8" borderId="11" xfId="4" applyFont="1" applyFill="1" applyBorder="1" applyAlignment="1">
      <alignment vertical="center" wrapText="1"/>
    </xf>
    <xf numFmtId="0" fontId="4" fillId="8" borderId="8" xfId="4" applyFont="1" applyFill="1" applyBorder="1" applyAlignment="1">
      <alignment vertical="center"/>
    </xf>
    <xf numFmtId="0" fontId="4" fillId="8" borderId="9" xfId="4" applyFont="1" applyFill="1" applyBorder="1" applyAlignment="1">
      <alignment vertical="center"/>
    </xf>
    <xf numFmtId="0" fontId="4" fillId="8" borderId="15" xfId="4" applyFont="1" applyFill="1" applyBorder="1" applyAlignment="1">
      <alignment vertical="center"/>
    </xf>
    <xf numFmtId="0" fontId="3" fillId="12" borderId="0" xfId="4" applyFill="1" applyAlignment="1">
      <alignment horizontal="left"/>
    </xf>
    <xf numFmtId="49" fontId="3" fillId="12" borderId="0" xfId="4" applyNumberFormat="1" applyFill="1" applyAlignment="1">
      <alignment horizontal="left"/>
    </xf>
    <xf numFmtId="180" fontId="3" fillId="8" borderId="0" xfId="4" applyNumberFormat="1" applyFill="1" applyAlignment="1">
      <alignment horizontal="left"/>
    </xf>
    <xf numFmtId="0" fontId="4" fillId="8" borderId="0" xfId="4" applyFont="1" applyFill="1" applyAlignment="1">
      <alignment vertical="center"/>
    </xf>
    <xf numFmtId="180" fontId="3" fillId="8" borderId="0" xfId="4" applyNumberFormat="1" applyFill="1" applyAlignment="1">
      <alignment horizontal="right" vertical="center"/>
    </xf>
    <xf numFmtId="0" fontId="3" fillId="0" borderId="0" xfId="0" applyFont="1" applyAlignment="1">
      <alignment horizontal="left"/>
    </xf>
    <xf numFmtId="0" fontId="3" fillId="16" borderId="8" xfId="4" applyFill="1" applyBorder="1" applyAlignment="1">
      <alignment horizontal="left" vertical="center"/>
    </xf>
    <xf numFmtId="0" fontId="3" fillId="17" borderId="8" xfId="4" applyFill="1" applyBorder="1" applyAlignment="1">
      <alignment horizontal="left" vertical="center"/>
    </xf>
    <xf numFmtId="0" fontId="3" fillId="12" borderId="8" xfId="4" applyFill="1" applyBorder="1" applyAlignment="1">
      <alignment horizontal="left" vertical="center"/>
    </xf>
    <xf numFmtId="0" fontId="75" fillId="8" borderId="0" xfId="4" applyFont="1" applyFill="1"/>
    <xf numFmtId="180" fontId="75" fillId="8" borderId="0" xfId="4" applyNumberFormat="1" applyFont="1" applyFill="1" applyAlignment="1">
      <alignment horizontal="right"/>
    </xf>
    <xf numFmtId="0" fontId="75" fillId="8" borderId="0" xfId="4" applyFont="1" applyFill="1" applyAlignment="1">
      <alignment horizontal="left" vertical="center"/>
    </xf>
    <xf numFmtId="178" fontId="75" fillId="8" borderId="0" xfId="4" applyNumberFormat="1" applyFont="1" applyFill="1"/>
    <xf numFmtId="180" fontId="3" fillId="17" borderId="11" xfId="4" applyNumberFormat="1" applyFill="1" applyBorder="1" applyAlignment="1">
      <alignment horizontal="center" vertical="center"/>
    </xf>
    <xf numFmtId="180" fontId="3" fillId="8" borderId="11" xfId="4" applyNumberFormat="1" applyFill="1" applyBorder="1" applyAlignment="1">
      <alignment horizontal="center" vertical="center"/>
    </xf>
    <xf numFmtId="0" fontId="3" fillId="17" borderId="70" xfId="4" applyFill="1" applyBorder="1" applyAlignment="1">
      <alignment horizontal="center" vertical="center"/>
    </xf>
    <xf numFmtId="0" fontId="3" fillId="8" borderId="70" xfId="4" applyFill="1" applyBorder="1" applyAlignment="1">
      <alignment horizontal="center" vertical="center"/>
    </xf>
    <xf numFmtId="0" fontId="48" fillId="8" borderId="11" xfId="4" applyFont="1" applyFill="1" applyBorder="1" applyAlignment="1">
      <alignment horizontal="center" vertical="center"/>
    </xf>
    <xf numFmtId="0" fontId="59" fillId="8" borderId="0" xfId="4" applyFont="1" applyFill="1" applyAlignment="1">
      <alignment horizontal="left" vertical="center"/>
    </xf>
    <xf numFmtId="0" fontId="54" fillId="3" borderId="69" xfId="4" applyFont="1" applyFill="1" applyBorder="1" applyAlignment="1">
      <alignment horizontal="center" vertical="center"/>
    </xf>
    <xf numFmtId="49" fontId="73" fillId="14" borderId="68" xfId="4" applyNumberFormat="1" applyFont="1" applyFill="1" applyBorder="1" applyAlignment="1">
      <alignment horizontal="center" vertical="center"/>
    </xf>
    <xf numFmtId="0" fontId="73" fillId="14" borderId="47" xfId="4" applyFont="1" applyFill="1" applyBorder="1" applyAlignment="1">
      <alignment horizontal="center" vertical="center"/>
    </xf>
    <xf numFmtId="180" fontId="76" fillId="0" borderId="0" xfId="4" applyNumberFormat="1" applyFont="1" applyFill="1" applyAlignment="1">
      <alignment horizontal="right" vertical="center"/>
    </xf>
    <xf numFmtId="178" fontId="76" fillId="8" borderId="0" xfId="4" applyNumberFormat="1" applyFont="1" applyFill="1" applyAlignment="1">
      <alignment vertical="center"/>
    </xf>
    <xf numFmtId="49" fontId="59" fillId="8" borderId="0" xfId="4" applyNumberFormat="1" applyFont="1" applyFill="1" applyAlignment="1" applyProtection="1">
      <alignment horizontal="left" vertical="center"/>
      <protection locked="0" hidden="1"/>
    </xf>
    <xf numFmtId="0" fontId="59" fillId="8" borderId="0" xfId="4" applyFont="1" applyFill="1" applyAlignment="1" applyProtection="1">
      <alignment horizontal="left" vertical="center"/>
      <protection locked="0" hidden="1"/>
    </xf>
    <xf numFmtId="0" fontId="3" fillId="8" borderId="0" xfId="4" applyFont="1" applyFill="1" applyAlignment="1" applyProtection="1">
      <alignment vertical="center"/>
      <protection locked="0" hidden="1"/>
    </xf>
    <xf numFmtId="0" fontId="55" fillId="12" borderId="0" xfId="0" applyFont="1" applyFill="1" applyAlignment="1"/>
    <xf numFmtId="0" fontId="59" fillId="8" borderId="0" xfId="4" applyFont="1" applyFill="1"/>
    <xf numFmtId="0" fontId="76" fillId="8" borderId="0" xfId="4" applyFont="1" applyFill="1" applyAlignment="1">
      <alignment horizontal="left"/>
    </xf>
    <xf numFmtId="0" fontId="48" fillId="0" borderId="22" xfId="0" applyFont="1" applyBorder="1"/>
    <xf numFmtId="0" fontId="17" fillId="24" borderId="0" xfId="0" applyFont="1" applyFill="1" applyProtection="1"/>
    <xf numFmtId="0" fontId="17" fillId="12" borderId="35" xfId="0" applyFont="1" applyFill="1" applyBorder="1" applyProtection="1"/>
    <xf numFmtId="182" fontId="17" fillId="12" borderId="39" xfId="0" applyNumberFormat="1" applyFont="1" applyFill="1" applyBorder="1" applyAlignment="1" applyProtection="1">
      <alignment horizontal="center"/>
    </xf>
    <xf numFmtId="0" fontId="17" fillId="12" borderId="39" xfId="0" applyFont="1" applyFill="1" applyBorder="1" applyProtection="1"/>
    <xf numFmtId="0" fontId="17" fillId="8" borderId="39" xfId="0" applyFont="1" applyFill="1" applyBorder="1" applyProtection="1"/>
    <xf numFmtId="0" fontId="17" fillId="12" borderId="36" xfId="0" applyFont="1" applyFill="1" applyBorder="1" applyProtection="1"/>
    <xf numFmtId="0" fontId="17" fillId="12" borderId="23" xfId="0" applyFont="1" applyFill="1" applyBorder="1" applyProtection="1"/>
    <xf numFmtId="0" fontId="3" fillId="8" borderId="39" xfId="0" applyFont="1" applyFill="1" applyBorder="1" applyAlignment="1" applyProtection="1">
      <alignment horizontal="right" vertical="center"/>
    </xf>
    <xf numFmtId="0" fontId="3" fillId="8" borderId="39" xfId="0" applyNumberFormat="1" applyFont="1" applyFill="1" applyBorder="1" applyAlignment="1" applyProtection="1">
      <alignment horizontal="right" vertical="center"/>
    </xf>
    <xf numFmtId="0" fontId="3" fillId="8" borderId="35" xfId="0" applyFont="1" applyFill="1" applyBorder="1" applyAlignment="1" applyProtection="1">
      <alignment vertical="center"/>
    </xf>
    <xf numFmtId="0" fontId="3" fillId="8" borderId="35" xfId="0" applyFont="1" applyFill="1" applyBorder="1" applyAlignment="1" applyProtection="1">
      <alignment horizontal="right"/>
    </xf>
    <xf numFmtId="0" fontId="3" fillId="8" borderId="35" xfId="0" applyNumberFormat="1" applyFont="1" applyFill="1" applyBorder="1" applyAlignment="1" applyProtection="1">
      <alignment horizontal="right"/>
    </xf>
    <xf numFmtId="0" fontId="3" fillId="8" borderId="35" xfId="0" applyFont="1" applyFill="1" applyBorder="1" applyAlignment="1" applyProtection="1"/>
    <xf numFmtId="0" fontId="50" fillId="8" borderId="39" xfId="0" applyFont="1" applyFill="1" applyBorder="1" applyAlignment="1" applyProtection="1">
      <alignment horizontal="right" vertical="center"/>
    </xf>
    <xf numFmtId="0" fontId="4" fillId="15" borderId="39" xfId="0" applyNumberFormat="1" applyFont="1" applyFill="1" applyBorder="1" applyAlignment="1" applyProtection="1">
      <alignment vertical="center"/>
      <protection locked="0"/>
    </xf>
    <xf numFmtId="0" fontId="4" fillId="12" borderId="26" xfId="0" applyNumberFormat="1" applyFont="1" applyFill="1" applyBorder="1" applyAlignment="1" applyProtection="1">
      <alignment vertical="center"/>
    </xf>
    <xf numFmtId="0" fontId="3" fillId="8" borderId="35" xfId="0" applyFont="1" applyFill="1" applyBorder="1" applyAlignment="1" applyProtection="1">
      <alignment horizontal="left"/>
    </xf>
    <xf numFmtId="1" fontId="49" fillId="8" borderId="25" xfId="0" applyNumberFormat="1" applyFont="1" applyFill="1" applyBorder="1" applyAlignment="1" applyProtection="1">
      <alignment horizontal="right"/>
    </xf>
    <xf numFmtId="0" fontId="3" fillId="8" borderId="36" xfId="0" applyFont="1" applyFill="1" applyBorder="1" applyAlignment="1" applyProtection="1">
      <alignment vertical="center"/>
    </xf>
    <xf numFmtId="0" fontId="60" fillId="13" borderId="35" xfId="0" applyFont="1" applyFill="1" applyBorder="1" applyAlignment="1" applyProtection="1">
      <alignment vertical="center"/>
    </xf>
    <xf numFmtId="0" fontId="17" fillId="13" borderId="35" xfId="0" applyFont="1" applyFill="1" applyBorder="1" applyProtection="1"/>
    <xf numFmtId="0" fontId="78" fillId="13" borderId="62" xfId="0" applyFont="1" applyFill="1" applyBorder="1" applyAlignment="1" applyProtection="1">
      <alignment vertical="center"/>
    </xf>
    <xf numFmtId="0" fontId="23" fillId="24" borderId="0" xfId="0" applyFont="1" applyFill="1" applyBorder="1" applyAlignment="1" applyProtection="1">
      <alignment horizontal="right" vertical="center"/>
    </xf>
    <xf numFmtId="20" fontId="0" fillId="0" borderId="0" xfId="0" applyNumberFormat="1"/>
    <xf numFmtId="179" fontId="0" fillId="0" borderId="0" xfId="0" applyNumberFormat="1" applyFill="1" applyBorder="1"/>
    <xf numFmtId="196" fontId="0" fillId="0" borderId="0" xfId="0" applyNumberFormat="1" applyBorder="1" applyAlignment="1">
      <alignment horizontal="right"/>
    </xf>
    <xf numFmtId="196" fontId="0" fillId="19" borderId="0" xfId="0" applyNumberFormat="1" applyFill="1" applyBorder="1" applyAlignment="1">
      <alignment horizontal="right"/>
    </xf>
    <xf numFmtId="0" fontId="0" fillId="0" borderId="22" xfId="0" applyBorder="1" applyAlignment="1">
      <alignment horizontal="left"/>
    </xf>
    <xf numFmtId="1" fontId="3" fillId="8" borderId="39" xfId="0" applyNumberFormat="1" applyFont="1" applyFill="1" applyBorder="1" applyAlignment="1" applyProtection="1">
      <alignment horizontal="right" vertical="center"/>
    </xf>
    <xf numFmtId="0" fontId="3" fillId="8" borderId="40" xfId="0" applyFont="1" applyFill="1" applyBorder="1" applyAlignment="1" applyProtection="1">
      <alignment vertical="center"/>
    </xf>
    <xf numFmtId="178" fontId="3" fillId="4" borderId="35" xfId="4" applyNumberFormat="1" applyFill="1" applyBorder="1"/>
    <xf numFmtId="178" fontId="3" fillId="27" borderId="0" xfId="4" applyNumberFormat="1" applyFill="1" applyAlignment="1">
      <alignment horizontal="center" vertical="center" wrapText="1"/>
    </xf>
    <xf numFmtId="9" fontId="3" fillId="0" borderId="47" xfId="4" applyNumberFormat="1" applyFont="1" applyFill="1" applyBorder="1" applyProtection="1">
      <protection locked="0"/>
    </xf>
    <xf numFmtId="178" fontId="4" fillId="26" borderId="0" xfId="4" applyNumberFormat="1" applyFont="1" applyFill="1" applyAlignment="1">
      <alignment horizontal="center" vertical="center" wrapText="1"/>
    </xf>
    <xf numFmtId="178" fontId="0" fillId="0" borderId="0" xfId="0" applyNumberFormat="1"/>
    <xf numFmtId="2" fontId="3" fillId="0" borderId="0" xfId="7" applyNumberFormat="1" applyFont="1"/>
    <xf numFmtId="2" fontId="4" fillId="0" borderId="0" xfId="0" applyNumberFormat="1" applyFont="1"/>
    <xf numFmtId="180" fontId="4" fillId="0" borderId="0" xfId="4" applyNumberFormat="1" applyFont="1"/>
    <xf numFmtId="179" fontId="4" fillId="0" borderId="0" xfId="4" applyNumberFormat="1" applyFont="1"/>
    <xf numFmtId="0" fontId="4" fillId="4" borderId="0" xfId="4" applyFont="1" applyFill="1" applyBorder="1" applyAlignment="1">
      <alignment horizontal="left"/>
    </xf>
    <xf numFmtId="2" fontId="3" fillId="0" borderId="0" xfId="0" applyNumberFormat="1" applyFont="1"/>
    <xf numFmtId="180" fontId="3" fillId="0" borderId="0" xfId="4" applyNumberFormat="1" applyFont="1"/>
    <xf numFmtId="2" fontId="3" fillId="0" borderId="0" xfId="4" applyNumberFormat="1" applyFont="1"/>
    <xf numFmtId="1" fontId="3" fillId="0" borderId="0" xfId="4" applyNumberFormat="1" applyFont="1"/>
    <xf numFmtId="179" fontId="3" fillId="0" borderId="0" xfId="0" applyNumberFormat="1" applyFont="1"/>
    <xf numFmtId="179" fontId="4" fillId="0" borderId="0" xfId="0" applyNumberFormat="1" applyFont="1"/>
    <xf numFmtId="0" fontId="4" fillId="4" borderId="35" xfId="4" applyFont="1" applyFill="1" applyBorder="1" applyAlignment="1"/>
    <xf numFmtId="180" fontId="3" fillId="0" borderId="0" xfId="7" applyNumberFormat="1" applyFont="1"/>
    <xf numFmtId="1" fontId="4" fillId="17" borderId="6" xfId="4" applyNumberFormat="1" applyFont="1" applyFill="1" applyBorder="1" applyAlignment="1">
      <alignment horizontal="center" vertical="center" wrapText="1"/>
    </xf>
    <xf numFmtId="1" fontId="4" fillId="25" borderId="55" xfId="4" applyNumberFormat="1" applyFont="1" applyFill="1" applyBorder="1" applyAlignment="1">
      <alignment horizontal="center" vertical="center" wrapText="1"/>
    </xf>
    <xf numFmtId="1" fontId="4" fillId="0" borderId="55" xfId="4" applyNumberFormat="1" applyFont="1" applyFill="1" applyBorder="1" applyAlignment="1">
      <alignment horizontal="center" vertical="center" wrapText="1"/>
    </xf>
    <xf numFmtId="1" fontId="0" fillId="0" borderId="0" xfId="0" applyNumberFormat="1"/>
    <xf numFmtId="1" fontId="4" fillId="0" borderId="0" xfId="0" applyNumberFormat="1" applyFont="1"/>
    <xf numFmtId="1" fontId="4" fillId="17" borderId="55" xfId="4" applyNumberFormat="1" applyFont="1" applyFill="1" applyBorder="1" applyAlignment="1">
      <alignment horizontal="center" vertical="center" wrapText="1"/>
    </xf>
    <xf numFmtId="1" fontId="4" fillId="28" borderId="55" xfId="4" applyNumberFormat="1" applyFont="1" applyFill="1" applyBorder="1" applyAlignment="1">
      <alignment horizontal="center" vertical="center" wrapText="1"/>
    </xf>
    <xf numFmtId="1" fontId="4" fillId="12" borderId="55" xfId="4" applyNumberFormat="1" applyFont="1" applyFill="1" applyBorder="1" applyAlignment="1">
      <alignment horizontal="center" vertical="center" wrapText="1"/>
    </xf>
    <xf numFmtId="1" fontId="3" fillId="20" borderId="0" xfId="0" applyNumberFormat="1" applyFont="1" applyFill="1" applyBorder="1"/>
    <xf numFmtId="180" fontId="15" fillId="18" borderId="0" xfId="0" applyNumberFormat="1" applyFont="1" applyFill="1" applyBorder="1" applyAlignment="1">
      <alignment horizontal="right"/>
    </xf>
    <xf numFmtId="189" fontId="27" fillId="0" borderId="0" xfId="0" applyNumberFormat="1" applyFont="1" applyFill="1" applyBorder="1"/>
    <xf numFmtId="0" fontId="3" fillId="0" borderId="33" xfId="0" applyFont="1" applyBorder="1"/>
    <xf numFmtId="180" fontId="27" fillId="4" borderId="0" xfId="0" applyNumberFormat="1" applyFont="1" applyFill="1" applyBorder="1"/>
    <xf numFmtId="178" fontId="27" fillId="0" borderId="0" xfId="0" applyNumberFormat="1" applyFont="1" applyFill="1" applyBorder="1"/>
    <xf numFmtId="179" fontId="3" fillId="5" borderId="0" xfId="0" applyNumberFormat="1" applyFont="1" applyFill="1" applyBorder="1"/>
    <xf numFmtId="2" fontId="0" fillId="0" borderId="0" xfId="0" applyNumberFormat="1" applyFill="1" applyBorder="1" applyAlignment="1">
      <alignment horizontal="right"/>
    </xf>
    <xf numFmtId="1" fontId="4" fillId="2" borderId="73" xfId="4" applyNumberFormat="1" applyFont="1" applyFill="1" applyBorder="1" applyAlignment="1">
      <alignment horizontal="center" vertical="center" wrapText="1"/>
    </xf>
    <xf numFmtId="0" fontId="4" fillId="4" borderId="22" xfId="4" applyFont="1" applyFill="1" applyBorder="1" applyAlignment="1">
      <alignment horizontal="left"/>
    </xf>
    <xf numFmtId="0" fontId="4" fillId="4" borderId="74" xfId="4" applyFont="1" applyFill="1" applyBorder="1" applyAlignment="1">
      <alignment horizontal="left"/>
    </xf>
    <xf numFmtId="0" fontId="3" fillId="12" borderId="39" xfId="0" applyFont="1" applyFill="1" applyBorder="1" applyProtection="1"/>
    <xf numFmtId="0" fontId="17" fillId="12" borderId="40" xfId="0" applyFont="1" applyFill="1" applyBorder="1" applyProtection="1"/>
    <xf numFmtId="0" fontId="3" fillId="0" borderId="0" xfId="0" applyNumberFormat="1" applyFont="1"/>
    <xf numFmtId="0" fontId="79" fillId="0" borderId="0" xfId="0" applyFont="1" applyAlignment="1">
      <alignment horizontal="right"/>
    </xf>
    <xf numFmtId="1" fontId="3" fillId="0" borderId="0" xfId="0" applyNumberFormat="1" applyFont="1"/>
    <xf numFmtId="180" fontId="3" fillId="0" borderId="0" xfId="0" applyNumberFormat="1" applyFont="1"/>
    <xf numFmtId="1" fontId="50" fillId="15" borderId="0" xfId="0" applyNumberFormat="1" applyFont="1" applyFill="1" applyBorder="1" applyAlignment="1" applyProtection="1">
      <alignment horizontal="right" vertical="center"/>
      <protection locked="0"/>
    </xf>
    <xf numFmtId="0" fontId="17" fillId="12" borderId="62" xfId="0" applyFont="1" applyFill="1" applyBorder="1" applyProtection="1"/>
    <xf numFmtId="0" fontId="4" fillId="12" borderId="35" xfId="0" applyFont="1" applyFill="1" applyBorder="1" applyAlignment="1" applyProtection="1">
      <alignment horizontal="right"/>
    </xf>
    <xf numFmtId="0" fontId="4" fillId="12" borderId="64" xfId="0" applyFont="1" applyFill="1" applyBorder="1" applyProtection="1"/>
    <xf numFmtId="0" fontId="80" fillId="0" borderId="0" xfId="0" applyFont="1" applyAlignment="1">
      <alignment vertical="center" wrapText="1"/>
    </xf>
    <xf numFmtId="0" fontId="3" fillId="0" borderId="0" xfId="0" applyNumberFormat="1" applyFont="1" applyFill="1" applyBorder="1" applyAlignment="1" applyProtection="1">
      <alignment horizontal="right" vertical="center"/>
    </xf>
    <xf numFmtId="0" fontId="4" fillId="15" borderId="35" xfId="0" applyFont="1" applyFill="1" applyBorder="1" applyProtection="1">
      <protection locked="0"/>
    </xf>
    <xf numFmtId="0" fontId="0" fillId="18" borderId="0" xfId="0" applyNumberFormat="1" applyFill="1" applyBorder="1"/>
    <xf numFmtId="0" fontId="0" fillId="4" borderId="0" xfId="0" applyNumberFormat="1" applyFill="1" applyBorder="1"/>
    <xf numFmtId="0" fontId="0" fillId="23" borderId="0" xfId="0" applyNumberFormat="1" applyFill="1" applyBorder="1"/>
    <xf numFmtId="0" fontId="4" fillId="8" borderId="35" xfId="0" applyFont="1" applyFill="1" applyBorder="1" applyProtection="1"/>
    <xf numFmtId="0" fontId="3" fillId="8" borderId="35" xfId="0" applyFont="1" applyFill="1" applyBorder="1" applyProtection="1"/>
    <xf numFmtId="0" fontId="4" fillId="0" borderId="0" xfId="0" applyFont="1" applyAlignment="1">
      <alignment horizontal="left"/>
    </xf>
    <xf numFmtId="49" fontId="3" fillId="0" borderId="0" xfId="0" applyNumberFormat="1" applyFont="1" applyBorder="1" applyAlignment="1">
      <alignment horizontal="left"/>
    </xf>
    <xf numFmtId="180" fontId="49" fillId="12" borderId="35" xfId="0" applyNumberFormat="1" applyFont="1" applyFill="1" applyBorder="1" applyAlignment="1" applyProtection="1">
      <alignment vertical="center"/>
    </xf>
    <xf numFmtId="178" fontId="3" fillId="0" borderId="0" xfId="0" applyNumberFormat="1" applyFont="1"/>
    <xf numFmtId="1" fontId="4" fillId="12" borderId="0" xfId="0" applyNumberFormat="1" applyFont="1" applyFill="1" applyBorder="1" applyAlignment="1" applyProtection="1">
      <alignment vertical="center"/>
    </xf>
    <xf numFmtId="1" fontId="66" fillId="0" borderId="0" xfId="0" applyNumberFormat="1" applyFont="1" applyFill="1" applyBorder="1" applyAlignment="1" applyProtection="1">
      <alignment horizontal="right" vertical="center"/>
    </xf>
    <xf numFmtId="180" fontId="4" fillId="15" borderId="0" xfId="0" applyNumberFormat="1" applyFont="1" applyFill="1" applyBorder="1" applyAlignment="1" applyProtection="1">
      <alignment horizontal="right" vertical="center"/>
      <protection locked="0"/>
    </xf>
    <xf numFmtId="0" fontId="22" fillId="8" borderId="67" xfId="0" applyFont="1" applyFill="1" applyBorder="1" applyAlignment="1" applyProtection="1">
      <alignment vertical="center"/>
    </xf>
    <xf numFmtId="0" fontId="17" fillId="8" borderId="35" xfId="0" applyFont="1" applyFill="1" applyBorder="1" applyProtection="1"/>
    <xf numFmtId="0" fontId="45" fillId="8" borderId="75" xfId="0" applyFont="1" applyFill="1" applyBorder="1" applyProtection="1"/>
    <xf numFmtId="0" fontId="45" fillId="8" borderId="76" xfId="0" applyFont="1" applyFill="1" applyBorder="1" applyProtection="1"/>
    <xf numFmtId="0" fontId="45" fillId="8" borderId="77" xfId="0" applyFont="1" applyFill="1" applyBorder="1" applyProtection="1"/>
    <xf numFmtId="2" fontId="3" fillId="18" borderId="0" xfId="0" applyNumberFormat="1" applyFont="1" applyFill="1" applyBorder="1"/>
    <xf numFmtId="0" fontId="0" fillId="18" borderId="0" xfId="0" applyNumberFormat="1" applyFill="1"/>
    <xf numFmtId="2" fontId="4" fillId="0" borderId="0" xfId="0" applyNumberFormat="1" applyFont="1" applyBorder="1" applyAlignment="1">
      <alignment horizontal="right"/>
    </xf>
    <xf numFmtId="1" fontId="3" fillId="4" borderId="0" xfId="0" applyNumberFormat="1" applyFont="1" applyFill="1" applyBorder="1"/>
    <xf numFmtId="2" fontId="4" fillId="0" borderId="0" xfId="0" applyNumberFormat="1" applyFont="1" applyFill="1" applyBorder="1"/>
    <xf numFmtId="0" fontId="3" fillId="0" borderId="22" xfId="0" applyFont="1" applyFill="1" applyBorder="1"/>
    <xf numFmtId="2" fontId="7" fillId="0" borderId="2" xfId="0" applyNumberFormat="1" applyFont="1" applyFill="1" applyBorder="1"/>
    <xf numFmtId="179" fontId="4" fillId="0" borderId="2" xfId="0" applyNumberFormat="1" applyFont="1" applyFill="1" applyBorder="1"/>
    <xf numFmtId="0" fontId="81" fillId="0" borderId="22" xfId="0" applyFont="1" applyBorder="1"/>
    <xf numFmtId="0" fontId="48" fillId="0" borderId="0" xfId="0" applyFont="1" applyBorder="1"/>
    <xf numFmtId="0" fontId="27" fillId="18" borderId="0" xfId="0" applyNumberFormat="1" applyFont="1" applyFill="1" applyBorder="1" applyAlignment="1">
      <alignment horizontal="right"/>
    </xf>
    <xf numFmtId="192" fontId="3" fillId="16" borderId="8" xfId="4" applyNumberFormat="1" applyFill="1" applyBorder="1" applyAlignment="1">
      <alignment horizontal="left" vertical="center"/>
    </xf>
    <xf numFmtId="192" fontId="3" fillId="16" borderId="9" xfId="4" applyNumberFormat="1" applyFill="1" applyBorder="1" applyAlignment="1">
      <alignment horizontal="left" vertical="center"/>
    </xf>
    <xf numFmtId="0" fontId="3" fillId="8" borderId="0" xfId="0" applyFont="1" applyFill="1" applyBorder="1" applyAlignment="1" applyProtection="1">
      <alignment horizontal="right" vertical="top"/>
    </xf>
    <xf numFmtId="0" fontId="3" fillId="8" borderId="38" xfId="0" applyFont="1" applyFill="1" applyBorder="1" applyAlignment="1" applyProtection="1">
      <alignment horizontal="right"/>
    </xf>
    <xf numFmtId="0" fontId="48" fillId="0" borderId="0" xfId="0" applyFont="1" applyAlignment="1">
      <alignment horizontal="right"/>
    </xf>
    <xf numFmtId="0" fontId="4" fillId="2" borderId="19" xfId="4" applyFont="1" applyFill="1" applyBorder="1" applyAlignment="1">
      <alignment horizontal="center" vertical="center" wrapText="1"/>
    </xf>
    <xf numFmtId="178" fontId="4" fillId="26" borderId="19" xfId="4" applyNumberFormat="1" applyFont="1" applyFill="1" applyBorder="1" applyAlignment="1">
      <alignment horizontal="center" vertical="center" wrapText="1"/>
    </xf>
    <xf numFmtId="178" fontId="4" fillId="26" borderId="20" xfId="4" applyNumberFormat="1" applyFont="1" applyFill="1" applyBorder="1" applyAlignment="1">
      <alignment horizontal="center" vertical="center" wrapText="1"/>
    </xf>
    <xf numFmtId="178" fontId="4" fillId="26" borderId="73" xfId="4" applyNumberFormat="1" applyFont="1" applyFill="1" applyBorder="1" applyAlignment="1">
      <alignment horizontal="center" vertical="center" wrapText="1"/>
    </xf>
    <xf numFmtId="178" fontId="4" fillId="26" borderId="39" xfId="4" applyNumberFormat="1" applyFont="1" applyFill="1" applyBorder="1" applyAlignment="1">
      <alignment horizontal="center" vertical="center" wrapText="1"/>
    </xf>
    <xf numFmtId="1" fontId="4" fillId="15" borderId="55" xfId="4" applyNumberFormat="1" applyFont="1" applyFill="1" applyBorder="1" applyAlignment="1">
      <alignment horizontal="center" vertical="center" wrapText="1"/>
    </xf>
    <xf numFmtId="1" fontId="4" fillId="15" borderId="6" xfId="4" applyNumberFormat="1" applyFont="1" applyFill="1" applyBorder="1" applyAlignment="1">
      <alignment horizontal="center" vertical="center" wrapText="1"/>
    </xf>
    <xf numFmtId="180" fontId="3" fillId="8" borderId="35" xfId="0" applyNumberFormat="1" applyFont="1" applyFill="1" applyBorder="1" applyAlignment="1" applyProtection="1">
      <alignment horizontal="right" vertical="center"/>
    </xf>
    <xf numFmtId="2" fontId="48" fillId="0" borderId="0" xfId="0" applyNumberFormat="1" applyFont="1" applyAlignment="1">
      <alignment horizontal="left"/>
    </xf>
    <xf numFmtId="2" fontId="48" fillId="0" borderId="0" xfId="0" applyNumberFormat="1" applyFont="1" applyAlignment="1">
      <alignment horizontal="right"/>
    </xf>
    <xf numFmtId="179" fontId="4" fillId="0" borderId="0" xfId="0" applyNumberFormat="1" applyFont="1" applyAlignment="1">
      <alignment horizontal="right"/>
    </xf>
    <xf numFmtId="179" fontId="0" fillId="0" borderId="0" xfId="0" applyNumberFormat="1" applyAlignment="1">
      <alignment horizontal="right"/>
    </xf>
    <xf numFmtId="0" fontId="3" fillId="23" borderId="0" xfId="0" applyNumberFormat="1" applyFont="1" applyFill="1" applyBorder="1"/>
    <xf numFmtId="9" fontId="0" fillId="19" borderId="0" xfId="0" applyNumberFormat="1" applyFill="1" applyBorder="1"/>
    <xf numFmtId="185" fontId="3" fillId="12" borderId="11" xfId="4" applyNumberFormat="1" applyFill="1" applyBorder="1" applyAlignment="1">
      <alignment horizontal="center" vertical="center"/>
    </xf>
    <xf numFmtId="0" fontId="3" fillId="12" borderId="70" xfId="4" applyFill="1" applyBorder="1" applyAlignment="1">
      <alignment horizontal="center" vertical="center"/>
    </xf>
    <xf numFmtId="180" fontId="3" fillId="12" borderId="11" xfId="4" applyNumberFormat="1" applyFill="1" applyBorder="1" applyAlignment="1">
      <alignment horizontal="center" vertical="center"/>
    </xf>
    <xf numFmtId="0" fontId="59" fillId="12" borderId="0" xfId="4" applyFont="1" applyFill="1" applyAlignment="1">
      <alignment horizontal="left" vertical="center"/>
    </xf>
    <xf numFmtId="0" fontId="3" fillId="12" borderId="0" xfId="4" applyFill="1" applyAlignment="1">
      <alignment vertical="center"/>
    </xf>
    <xf numFmtId="0" fontId="59" fillId="12" borderId="0" xfId="4" applyFont="1" applyFill="1" applyAlignment="1" applyProtection="1">
      <alignment horizontal="left" vertical="center"/>
      <protection locked="0" hidden="1"/>
    </xf>
    <xf numFmtId="193" fontId="3" fillId="12" borderId="8" xfId="4" applyNumberFormat="1" applyFill="1" applyBorder="1" applyAlignment="1">
      <alignment horizontal="left" vertical="center"/>
    </xf>
    <xf numFmtId="193" fontId="3" fillId="12" borderId="9" xfId="4" applyNumberFormat="1" applyFill="1" applyBorder="1" applyAlignment="1">
      <alignment horizontal="left" vertical="center"/>
    </xf>
    <xf numFmtId="0" fontId="3" fillId="17" borderId="11" xfId="4" applyNumberFormat="1" applyFill="1" applyBorder="1" applyAlignment="1">
      <alignment horizontal="center" vertical="center"/>
    </xf>
    <xf numFmtId="1" fontId="3" fillId="12" borderId="11" xfId="4" applyNumberFormat="1" applyFill="1" applyBorder="1" applyAlignment="1">
      <alignment horizontal="center" vertical="center"/>
    </xf>
    <xf numFmtId="0" fontId="4" fillId="12" borderId="0" xfId="0" applyFont="1" applyFill="1" applyBorder="1" applyAlignment="1" applyProtection="1">
      <alignment horizontal="right"/>
    </xf>
    <xf numFmtId="179" fontId="48" fillId="0" borderId="0" xfId="0" applyNumberFormat="1" applyFont="1" applyAlignment="1">
      <alignment horizontal="left"/>
    </xf>
    <xf numFmtId="180" fontId="3" fillId="8" borderId="63" xfId="0" applyNumberFormat="1" applyFont="1" applyFill="1" applyBorder="1" applyAlignment="1" applyProtection="1">
      <alignment horizontal="right" vertical="center"/>
    </xf>
    <xf numFmtId="1" fontId="49" fillId="8" borderId="35" xfId="2" applyNumberFormat="1" applyFont="1" applyFill="1" applyBorder="1" applyAlignment="1" applyProtection="1">
      <alignment horizontal="right" vertical="center"/>
    </xf>
    <xf numFmtId="0" fontId="3" fillId="8" borderId="0" xfId="0" applyNumberFormat="1" applyFont="1" applyFill="1" applyBorder="1" applyAlignment="1" applyProtection="1"/>
    <xf numFmtId="2" fontId="7" fillId="10" borderId="0" xfId="0" applyNumberFormat="1" applyFont="1" applyFill="1" applyBorder="1"/>
    <xf numFmtId="0" fontId="3" fillId="12" borderId="64" xfId="0" applyNumberFormat="1" applyFont="1" applyFill="1" applyBorder="1" applyAlignment="1" applyProtection="1">
      <alignment vertical="center"/>
    </xf>
    <xf numFmtId="177" fontId="0" fillId="0" borderId="0" xfId="0" applyNumberFormat="1"/>
    <xf numFmtId="180" fontId="3" fillId="12" borderId="0" xfId="0" applyNumberFormat="1" applyFont="1" applyFill="1" applyAlignment="1" applyProtection="1">
      <alignment horizontal="right"/>
    </xf>
    <xf numFmtId="0" fontId="3" fillId="12" borderId="23" xfId="0" applyNumberFormat="1" applyFont="1" applyFill="1" applyBorder="1" applyAlignment="1" applyProtection="1"/>
    <xf numFmtId="0" fontId="3" fillId="12" borderId="40" xfId="0" applyNumberFormat="1" applyFont="1" applyFill="1" applyBorder="1" applyAlignment="1" applyProtection="1"/>
    <xf numFmtId="2" fontId="3" fillId="8" borderId="39" xfId="0" applyNumberFormat="1" applyFont="1" applyFill="1" applyBorder="1" applyAlignment="1" applyProtection="1">
      <alignment horizontal="right"/>
    </xf>
    <xf numFmtId="190" fontId="3" fillId="16" borderId="8" xfId="4" applyNumberFormat="1" applyFill="1" applyBorder="1" applyAlignment="1">
      <alignment horizontal="left" vertical="center"/>
    </xf>
    <xf numFmtId="190" fontId="3" fillId="16" borderId="9" xfId="4" applyNumberFormat="1" applyFill="1" applyBorder="1" applyAlignment="1">
      <alignment horizontal="left" vertical="center"/>
    </xf>
    <xf numFmtId="0" fontId="54" fillId="3" borderId="69" xfId="4" applyFont="1" applyFill="1" applyBorder="1" applyAlignment="1">
      <alignment horizontal="center" vertical="center"/>
    </xf>
    <xf numFmtId="0" fontId="54" fillId="3" borderId="71" xfId="4" applyFont="1" applyFill="1" applyBorder="1" applyAlignment="1">
      <alignment horizontal="center" vertical="center"/>
    </xf>
    <xf numFmtId="0" fontId="54" fillId="3" borderId="72" xfId="4" applyFont="1" applyFill="1" applyBorder="1" applyAlignment="1">
      <alignment horizontal="center" vertical="center"/>
    </xf>
    <xf numFmtId="195" fontId="3" fillId="17" borderId="8" xfId="4" applyNumberFormat="1" applyFill="1" applyBorder="1" applyAlignment="1">
      <alignment horizontal="left" vertical="center"/>
    </xf>
    <xf numFmtId="195" fontId="3" fillId="17" borderId="9" xfId="4" applyNumberFormat="1" applyFill="1" applyBorder="1" applyAlignment="1">
      <alignment horizontal="left" vertical="center"/>
    </xf>
    <xf numFmtId="193" fontId="3" fillId="12" borderId="8" xfId="4" applyNumberFormat="1" applyFill="1" applyBorder="1" applyAlignment="1">
      <alignment horizontal="left" vertical="center"/>
    </xf>
    <xf numFmtId="193" fontId="3" fillId="12" borderId="9" xfId="4" applyNumberFormat="1" applyFill="1" applyBorder="1" applyAlignment="1">
      <alignment horizontal="left" vertical="center"/>
    </xf>
    <xf numFmtId="187" fontId="3" fillId="12" borderId="8" xfId="4" applyNumberFormat="1" applyFill="1" applyBorder="1" applyAlignment="1">
      <alignment horizontal="left" vertical="center"/>
    </xf>
    <xf numFmtId="187" fontId="3" fillId="12" borderId="9" xfId="4" applyNumberFormat="1" applyFill="1" applyBorder="1" applyAlignment="1">
      <alignment horizontal="left" vertical="center"/>
    </xf>
    <xf numFmtId="186" fontId="3" fillId="12" borderId="8" xfId="4" applyNumberFormat="1" applyFill="1" applyBorder="1" applyAlignment="1">
      <alignment horizontal="left" vertical="center" wrapText="1"/>
    </xf>
    <xf numFmtId="186" fontId="3" fillId="12" borderId="9" xfId="4" applyNumberFormat="1" applyFill="1" applyBorder="1" applyAlignment="1">
      <alignment horizontal="left" vertical="center" wrapText="1"/>
    </xf>
    <xf numFmtId="186" fontId="3" fillId="12" borderId="15" xfId="4" applyNumberFormat="1" applyFill="1" applyBorder="1" applyAlignment="1">
      <alignment horizontal="left" vertical="center" wrapText="1"/>
    </xf>
    <xf numFmtId="193" fontId="3" fillId="17" borderId="8" xfId="4" applyNumberFormat="1" applyFill="1" applyBorder="1" applyAlignment="1">
      <alignment horizontal="left" vertical="center"/>
    </xf>
    <xf numFmtId="193" fontId="3" fillId="17" borderId="9" xfId="4" applyNumberFormat="1" applyFill="1" applyBorder="1" applyAlignment="1">
      <alignment horizontal="left" vertical="center"/>
    </xf>
    <xf numFmtId="192" fontId="3" fillId="16" borderId="8" xfId="4" applyNumberFormat="1" applyFill="1" applyBorder="1" applyAlignment="1">
      <alignment horizontal="left" vertical="center"/>
    </xf>
    <xf numFmtId="192" fontId="3" fillId="16" borderId="9" xfId="4" applyNumberFormat="1" applyFill="1" applyBorder="1" applyAlignment="1">
      <alignment horizontal="left" vertical="center"/>
    </xf>
    <xf numFmtId="187" fontId="3" fillId="17" borderId="8" xfId="4" applyNumberFormat="1" applyFill="1" applyBorder="1" applyAlignment="1">
      <alignment horizontal="left" vertical="center"/>
    </xf>
    <xf numFmtId="187" fontId="3" fillId="17" borderId="9" xfId="4" applyNumberFormat="1" applyFill="1" applyBorder="1" applyAlignment="1">
      <alignment horizontal="left" vertical="center"/>
    </xf>
    <xf numFmtId="0" fontId="40" fillId="12" borderId="22" xfId="0" applyFont="1" applyFill="1" applyBorder="1" applyAlignment="1" applyProtection="1">
      <alignment horizontal="left" vertical="center"/>
    </xf>
    <xf numFmtId="0" fontId="40" fillId="12" borderId="0" xfId="0" applyFont="1" applyFill="1" applyBorder="1" applyAlignment="1" applyProtection="1">
      <alignment horizontal="left" vertical="center"/>
    </xf>
    <xf numFmtId="0" fontId="4" fillId="0" borderId="0" xfId="0" applyFont="1" applyAlignment="1">
      <alignment horizontal="center"/>
    </xf>
    <xf numFmtId="0" fontId="5" fillId="3" borderId="0" xfId="0" applyFont="1" applyFill="1" applyAlignment="1">
      <alignment horizontal="left"/>
    </xf>
    <xf numFmtId="0" fontId="4" fillId="4" borderId="71" xfId="4" applyFont="1" applyFill="1" applyBorder="1" applyAlignment="1">
      <alignment horizontal="left"/>
    </xf>
    <xf numFmtId="0" fontId="4" fillId="4" borderId="46" xfId="4" applyFont="1" applyFill="1" applyBorder="1" applyAlignment="1">
      <alignment horizontal="left"/>
    </xf>
    <xf numFmtId="0" fontId="4" fillId="4" borderId="78" xfId="4" applyFont="1" applyFill="1" applyBorder="1" applyAlignment="1">
      <alignment horizontal="left"/>
    </xf>
    <xf numFmtId="0" fontId="4" fillId="4" borderId="66" xfId="4" applyFont="1" applyFill="1" applyBorder="1" applyAlignment="1">
      <alignment horizontal="left"/>
    </xf>
    <xf numFmtId="0" fontId="13" fillId="3" borderId="0" xfId="4" applyFont="1" applyFill="1" applyAlignment="1">
      <alignment horizontal="left" vertical="center"/>
    </xf>
    <xf numFmtId="0" fontId="23" fillId="21" borderId="0" xfId="4" applyFont="1" applyFill="1" applyBorder="1" applyAlignment="1" applyProtection="1">
      <alignment horizontal="center" vertical="center"/>
    </xf>
    <xf numFmtId="0" fontId="4" fillId="0" borderId="0" xfId="4" applyFont="1" applyAlignment="1">
      <alignment horizontal="left" vertical="center" wrapText="1"/>
    </xf>
    <xf numFmtId="0" fontId="4" fillId="4" borderId="65" xfId="4" applyFont="1" applyFill="1" applyBorder="1" applyAlignment="1">
      <alignment horizontal="left"/>
    </xf>
  </cellXfs>
  <cellStyles count="8">
    <cellStyle name="Comma 2" xfId="6"/>
    <cellStyle name="Normal 2" xfId="4"/>
    <cellStyle name="Normal 3" xfId="5"/>
    <cellStyle name="RowLevel_1" xfId="1" builtinId="1" iLevel="0"/>
    <cellStyle name="백분율" xfId="7" builtinId="5"/>
    <cellStyle name="쉼표" xfId="2" builtinId="3"/>
    <cellStyle name="표준" xfId="0" builtinId="0"/>
    <cellStyle name="하이퍼링크" xfId="3" builtinId="8"/>
  </cellStyles>
  <dxfs count="59">
    <dxf>
      <border>
        <left style="thin">
          <color indexed="64"/>
        </left>
        <right style="thin">
          <color indexed="64"/>
        </right>
        <top style="thin">
          <color indexed="64"/>
        </top>
        <bottom style="thin">
          <color indexed="64"/>
        </bottom>
      </border>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rgb="FFFFFF99"/>
      </font>
    </dxf>
    <dxf>
      <font>
        <color theme="0"/>
      </font>
    </dxf>
    <dxf>
      <font>
        <color theme="0"/>
      </font>
      <fill>
        <patternFill patternType="solid">
          <fgColor auto="1"/>
          <bgColor rgb="FFFF0000"/>
        </patternFill>
      </fill>
    </dxf>
    <dxf>
      <font>
        <color theme="0"/>
      </font>
      <fill>
        <patternFill>
          <bgColor theme="0"/>
        </patternFill>
      </fill>
    </dxf>
    <dxf>
      <font>
        <b/>
        <i val="0"/>
        <color rgb="FFFF0000"/>
      </font>
    </dxf>
    <dxf>
      <font>
        <color rgb="FFFF0000"/>
      </font>
    </dxf>
    <dxf>
      <border>
        <top/>
        <bottom/>
        <vertical/>
        <horizontal/>
      </border>
    </dxf>
    <dxf>
      <border>
        <left/>
        <right/>
        <top/>
        <bottom/>
        <vertical/>
        <horizontal/>
      </border>
    </dxf>
    <dxf>
      <font>
        <color theme="0"/>
      </font>
      <fill>
        <patternFill>
          <bgColor theme="0"/>
        </patternFill>
      </fill>
      <border>
        <right/>
        <top/>
        <bottom/>
      </border>
    </dxf>
    <dxf>
      <border>
        <bottom/>
        <vertical/>
        <horizontal/>
      </border>
    </dxf>
    <dxf>
      <border>
        <bottom/>
        <vertical/>
        <horizontal/>
      </border>
    </dxf>
    <dxf>
      <border>
        <right/>
        <vertical/>
        <horizontal/>
      </border>
    </dxf>
    <dxf>
      <border>
        <bottom/>
        <vertical/>
        <horizontal/>
      </border>
    </dxf>
    <dxf>
      <font>
        <strike val="0"/>
        <color theme="0"/>
      </font>
      <fill>
        <patternFill>
          <bgColor theme="0"/>
        </patternFill>
      </fill>
    </dxf>
    <dxf>
      <font>
        <color rgb="FFFF0000"/>
      </font>
    </dxf>
    <dxf>
      <font>
        <color rgb="FFFF0000"/>
      </font>
    </dxf>
    <dxf>
      <font>
        <color rgb="FFFF0000"/>
      </font>
    </dxf>
    <dxf>
      <font>
        <color theme="0"/>
      </font>
      <fill>
        <patternFill>
          <bgColor theme="0"/>
        </patternFill>
      </fill>
    </dxf>
    <dxf>
      <font>
        <b/>
        <i val="0"/>
        <color rgb="FFC00000"/>
      </font>
    </dxf>
    <dxf>
      <font>
        <color rgb="FFFF0000"/>
      </font>
    </dxf>
    <dxf>
      <font>
        <color rgb="FFFF0000"/>
      </font>
    </dxf>
    <dxf>
      <font>
        <color rgb="FFFF0000"/>
      </font>
    </dxf>
    <dxf>
      <font>
        <b/>
        <i val="0"/>
        <color rgb="FFFF0000"/>
      </font>
    </dxf>
    <dxf>
      <font>
        <b/>
        <i val="0"/>
        <condense val="0"/>
        <extend val="0"/>
        <color indexed="12"/>
      </font>
    </dxf>
    <dxf>
      <font>
        <b/>
        <i val="0"/>
        <condense val="0"/>
        <extend val="0"/>
        <color indexed="10"/>
      </font>
    </dxf>
    <dxf>
      <font>
        <color rgb="FFFF0000"/>
      </font>
    </dxf>
    <dxf>
      <font>
        <color rgb="FFFF0000"/>
      </font>
    </dxf>
    <dxf>
      <font>
        <color rgb="FFFF0000"/>
      </font>
    </dxf>
    <dxf>
      <font>
        <color rgb="FFFF0000"/>
      </font>
    </dxf>
    <dxf>
      <border>
        <right/>
        <vertical/>
        <horizontal/>
      </border>
    </dxf>
    <dxf>
      <border>
        <left/>
        <right/>
        <top/>
        <bottom/>
        <vertical/>
        <horizontal/>
      </border>
    </dxf>
    <dxf>
      <border>
        <bottom/>
        <vertical/>
        <horizontal/>
      </border>
    </dxf>
    <dxf>
      <font>
        <color rgb="FFFF0000"/>
      </font>
    </dxf>
    <dxf>
      <font>
        <color rgb="FFFF0000"/>
      </font>
    </dxf>
    <dxf>
      <font>
        <color rgb="FFFF0000"/>
      </font>
    </dxf>
    <dxf>
      <font>
        <b/>
        <i val="0"/>
        <color rgb="FFC00000"/>
      </font>
    </dxf>
    <dxf>
      <font>
        <color theme="0"/>
      </font>
      <fill>
        <patternFill>
          <bgColor theme="0"/>
        </patternFill>
      </fill>
    </dxf>
    <dxf>
      <font>
        <b/>
        <i val="0"/>
        <color rgb="FFC00000"/>
      </font>
    </dxf>
    <dxf>
      <font>
        <color theme="0"/>
      </font>
    </dxf>
    <dxf>
      <font>
        <b/>
        <i val="0"/>
        <color rgb="FFC00000"/>
      </font>
    </dxf>
    <dxf>
      <font>
        <color theme="0"/>
      </font>
      <fill>
        <patternFill>
          <bgColor theme="0"/>
        </patternFill>
      </fill>
    </dxf>
    <dxf>
      <font>
        <color theme="0"/>
      </font>
    </dxf>
    <dxf>
      <font>
        <color rgb="FFFF0000"/>
      </font>
    </dxf>
    <dxf>
      <font>
        <color rgb="FFFF0000"/>
      </font>
    </dxf>
    <dxf>
      <font>
        <color rgb="FFFF0000"/>
      </font>
    </dxf>
    <dxf>
      <font>
        <color rgb="FFFF0000"/>
      </font>
    </dxf>
    <dxf>
      <font>
        <color rgb="FFFF0000"/>
      </font>
    </dxf>
    <dxf>
      <font>
        <b/>
        <i val="0"/>
        <color rgb="FFFF0000"/>
      </font>
    </dxf>
    <dxf>
      <font>
        <b/>
        <i val="0"/>
        <condense val="0"/>
        <extend val="0"/>
        <color indexed="10"/>
      </font>
    </dxf>
  </dxfs>
  <tableStyles count="0" defaultTableStyle="TableStyleMedium9" defaultPivotStyle="PivotStyleLight16"/>
  <colors>
    <mruColors>
      <color rgb="FFEE6112"/>
      <color rgb="FF0000FF"/>
      <color rgb="FFFFFF99"/>
      <color rgb="FFFFFF66"/>
      <color rgb="FFFF9900"/>
      <color rgb="FF33CC33"/>
      <color rgb="FFFF00FF"/>
      <color rgb="FF00FF00"/>
      <color rgb="FF99CC00"/>
      <color rgb="FF66FF66"/>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ko-K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280743132914835E-2"/>
          <c:y val="0.12133523343001466"/>
          <c:w val="0.80670936294253548"/>
          <c:h val="0.7558980268938309"/>
        </c:manualLayout>
      </c:layout>
      <c:lineChart>
        <c:grouping val="standard"/>
        <c:varyColors val="0"/>
        <c:ser>
          <c:idx val="1"/>
          <c:order val="0"/>
          <c:tx>
            <c:v>VIN-min</c:v>
          </c:tx>
          <c:spPr>
            <a:ln w="19050">
              <a:solidFill>
                <a:srgbClr val="00B050"/>
              </a:solidFill>
              <a:prstDash val="lgDash"/>
            </a:ln>
          </c:spPr>
          <c:marker>
            <c:symbol val="none"/>
          </c:marker>
          <c:cat>
            <c:numRef>
              <c:f>'Calculations - Single'!$AM$5:$AM$105</c:f>
              <c:numCache>
                <c:formatCode>0</c:formatCode>
                <c:ptCount val="101"/>
                <c:pt idx="0">
                  <c:v>1.0000000000000002E-6</c:v>
                </c:pt>
                <c:pt idx="1">
                  <c:v>3</c:v>
                </c:pt>
                <c:pt idx="2">
                  <c:v>6</c:v>
                </c:pt>
                <c:pt idx="3">
                  <c:v>9</c:v>
                </c:pt>
                <c:pt idx="4">
                  <c:v>12</c:v>
                </c:pt>
                <c:pt idx="5">
                  <c:v>15</c:v>
                </c:pt>
                <c:pt idx="6">
                  <c:v>18</c:v>
                </c:pt>
                <c:pt idx="7">
                  <c:v>21</c:v>
                </c:pt>
                <c:pt idx="8">
                  <c:v>24</c:v>
                </c:pt>
                <c:pt idx="9">
                  <c:v>27</c:v>
                </c:pt>
                <c:pt idx="10">
                  <c:v>30</c:v>
                </c:pt>
                <c:pt idx="11">
                  <c:v>33</c:v>
                </c:pt>
                <c:pt idx="12">
                  <c:v>36</c:v>
                </c:pt>
                <c:pt idx="13">
                  <c:v>39</c:v>
                </c:pt>
                <c:pt idx="14">
                  <c:v>42</c:v>
                </c:pt>
                <c:pt idx="15">
                  <c:v>45</c:v>
                </c:pt>
                <c:pt idx="16">
                  <c:v>48</c:v>
                </c:pt>
                <c:pt idx="17">
                  <c:v>51.000000000000007</c:v>
                </c:pt>
                <c:pt idx="18">
                  <c:v>54</c:v>
                </c:pt>
                <c:pt idx="19">
                  <c:v>56.999999999999993</c:v>
                </c:pt>
                <c:pt idx="20">
                  <c:v>60</c:v>
                </c:pt>
                <c:pt idx="21">
                  <c:v>63</c:v>
                </c:pt>
                <c:pt idx="22">
                  <c:v>66</c:v>
                </c:pt>
                <c:pt idx="23">
                  <c:v>69</c:v>
                </c:pt>
                <c:pt idx="24">
                  <c:v>72</c:v>
                </c:pt>
                <c:pt idx="25">
                  <c:v>75</c:v>
                </c:pt>
                <c:pt idx="26">
                  <c:v>78</c:v>
                </c:pt>
                <c:pt idx="27">
                  <c:v>81</c:v>
                </c:pt>
                <c:pt idx="28">
                  <c:v>84</c:v>
                </c:pt>
                <c:pt idx="29">
                  <c:v>87</c:v>
                </c:pt>
                <c:pt idx="30">
                  <c:v>90</c:v>
                </c:pt>
                <c:pt idx="31">
                  <c:v>93</c:v>
                </c:pt>
                <c:pt idx="32">
                  <c:v>96</c:v>
                </c:pt>
                <c:pt idx="33">
                  <c:v>99</c:v>
                </c:pt>
                <c:pt idx="34">
                  <c:v>102.00000000000001</c:v>
                </c:pt>
                <c:pt idx="35">
                  <c:v>105</c:v>
                </c:pt>
                <c:pt idx="36">
                  <c:v>108</c:v>
                </c:pt>
                <c:pt idx="37">
                  <c:v>111</c:v>
                </c:pt>
                <c:pt idx="38">
                  <c:v>113.99999999999999</c:v>
                </c:pt>
                <c:pt idx="39">
                  <c:v>117</c:v>
                </c:pt>
                <c:pt idx="40">
                  <c:v>120</c:v>
                </c:pt>
                <c:pt idx="41">
                  <c:v>122.99999999999999</c:v>
                </c:pt>
                <c:pt idx="42">
                  <c:v>126</c:v>
                </c:pt>
                <c:pt idx="43">
                  <c:v>129</c:v>
                </c:pt>
                <c:pt idx="44">
                  <c:v>132</c:v>
                </c:pt>
                <c:pt idx="45">
                  <c:v>135</c:v>
                </c:pt>
                <c:pt idx="46">
                  <c:v>138</c:v>
                </c:pt>
                <c:pt idx="47">
                  <c:v>141</c:v>
                </c:pt>
                <c:pt idx="48">
                  <c:v>144</c:v>
                </c:pt>
                <c:pt idx="49">
                  <c:v>147</c:v>
                </c:pt>
                <c:pt idx="50">
                  <c:v>150</c:v>
                </c:pt>
                <c:pt idx="51">
                  <c:v>153</c:v>
                </c:pt>
                <c:pt idx="52">
                  <c:v>156</c:v>
                </c:pt>
                <c:pt idx="53">
                  <c:v>159</c:v>
                </c:pt>
                <c:pt idx="54">
                  <c:v>162</c:v>
                </c:pt>
                <c:pt idx="55">
                  <c:v>165</c:v>
                </c:pt>
                <c:pt idx="56">
                  <c:v>168</c:v>
                </c:pt>
                <c:pt idx="57">
                  <c:v>170.99999999999997</c:v>
                </c:pt>
                <c:pt idx="58">
                  <c:v>174</c:v>
                </c:pt>
                <c:pt idx="59">
                  <c:v>177</c:v>
                </c:pt>
                <c:pt idx="60">
                  <c:v>180</c:v>
                </c:pt>
                <c:pt idx="61">
                  <c:v>183</c:v>
                </c:pt>
                <c:pt idx="62">
                  <c:v>186</c:v>
                </c:pt>
                <c:pt idx="63">
                  <c:v>189</c:v>
                </c:pt>
                <c:pt idx="64">
                  <c:v>192</c:v>
                </c:pt>
                <c:pt idx="65">
                  <c:v>195</c:v>
                </c:pt>
                <c:pt idx="66">
                  <c:v>198</c:v>
                </c:pt>
                <c:pt idx="67">
                  <c:v>201</c:v>
                </c:pt>
                <c:pt idx="68">
                  <c:v>204.00000000000003</c:v>
                </c:pt>
                <c:pt idx="69">
                  <c:v>207</c:v>
                </c:pt>
                <c:pt idx="70">
                  <c:v>210</c:v>
                </c:pt>
                <c:pt idx="71">
                  <c:v>213</c:v>
                </c:pt>
                <c:pt idx="72">
                  <c:v>216</c:v>
                </c:pt>
                <c:pt idx="73">
                  <c:v>219</c:v>
                </c:pt>
                <c:pt idx="74">
                  <c:v>222</c:v>
                </c:pt>
                <c:pt idx="75">
                  <c:v>224.99999999999997</c:v>
                </c:pt>
                <c:pt idx="76">
                  <c:v>227.99999999999997</c:v>
                </c:pt>
                <c:pt idx="77">
                  <c:v>230.99999999999997</c:v>
                </c:pt>
                <c:pt idx="78">
                  <c:v>234</c:v>
                </c:pt>
                <c:pt idx="79">
                  <c:v>237</c:v>
                </c:pt>
                <c:pt idx="80">
                  <c:v>240</c:v>
                </c:pt>
                <c:pt idx="81">
                  <c:v>243</c:v>
                </c:pt>
                <c:pt idx="82">
                  <c:v>245.99999999999997</c:v>
                </c:pt>
                <c:pt idx="83">
                  <c:v>248.99999999999997</c:v>
                </c:pt>
                <c:pt idx="84">
                  <c:v>252</c:v>
                </c:pt>
                <c:pt idx="85">
                  <c:v>255</c:v>
                </c:pt>
                <c:pt idx="86">
                  <c:v>258</c:v>
                </c:pt>
                <c:pt idx="87">
                  <c:v>261</c:v>
                </c:pt>
                <c:pt idx="88">
                  <c:v>264</c:v>
                </c:pt>
                <c:pt idx="89">
                  <c:v>267</c:v>
                </c:pt>
                <c:pt idx="90">
                  <c:v>270</c:v>
                </c:pt>
                <c:pt idx="91">
                  <c:v>273</c:v>
                </c:pt>
                <c:pt idx="92">
                  <c:v>276</c:v>
                </c:pt>
                <c:pt idx="93">
                  <c:v>279</c:v>
                </c:pt>
                <c:pt idx="94">
                  <c:v>282</c:v>
                </c:pt>
                <c:pt idx="95">
                  <c:v>285</c:v>
                </c:pt>
                <c:pt idx="96">
                  <c:v>288</c:v>
                </c:pt>
                <c:pt idx="97">
                  <c:v>291</c:v>
                </c:pt>
                <c:pt idx="98">
                  <c:v>294</c:v>
                </c:pt>
                <c:pt idx="99">
                  <c:v>297</c:v>
                </c:pt>
                <c:pt idx="100">
                  <c:v>300</c:v>
                </c:pt>
              </c:numCache>
            </c:numRef>
          </c:cat>
          <c:val>
            <c:numRef>
              <c:f>'Calculations - Single'!$AN$110:$AN$210</c:f>
              <c:numCache>
                <c:formatCode>0.0</c:formatCode>
                <c:ptCount val="101"/>
                <c:pt idx="0">
                  <c:v>10</c:v>
                </c:pt>
                <c:pt idx="1">
                  <c:v>27.199762187871581</c:v>
                </c:pt>
                <c:pt idx="2">
                  <c:v>54.399524375743162</c:v>
                </c:pt>
                <c:pt idx="3">
                  <c:v>81.599286563614726</c:v>
                </c:pt>
                <c:pt idx="4">
                  <c:v>108.79904875148632</c:v>
                </c:pt>
                <c:pt idx="5">
                  <c:v>135.9988109393579</c:v>
                </c:pt>
                <c:pt idx="6">
                  <c:v>163.19857312722945</c:v>
                </c:pt>
                <c:pt idx="7">
                  <c:v>190.39833531510109</c:v>
                </c:pt>
                <c:pt idx="8">
                  <c:v>217.59809750297265</c:v>
                </c:pt>
                <c:pt idx="9">
                  <c:v>244.79785969084423</c:v>
                </c:pt>
                <c:pt idx="10">
                  <c:v>271.99762187871579</c:v>
                </c:pt>
                <c:pt idx="11">
                  <c:v>299.1973840665874</c:v>
                </c:pt>
                <c:pt idx="12">
                  <c:v>326.3971462544589</c:v>
                </c:pt>
                <c:pt idx="13">
                  <c:v>350</c:v>
                </c:pt>
                <c:pt idx="14">
                  <c:v>350</c:v>
                </c:pt>
                <c:pt idx="15">
                  <c:v>350</c:v>
                </c:pt>
                <c:pt idx="16">
                  <c:v>350</c:v>
                </c:pt>
                <c:pt idx="17">
                  <c:v>338.50635317881722</c:v>
                </c:pt>
                <c:pt idx="18">
                  <c:v>319.70044466888299</c:v>
                </c:pt>
                <c:pt idx="19">
                  <c:v>302.87410547578384</c:v>
                </c:pt>
                <c:pt idx="20">
                  <c:v>287.73040020199466</c:v>
                </c:pt>
                <c:pt idx="21">
                  <c:v>274.02895257332824</c:v>
                </c:pt>
                <c:pt idx="22">
                  <c:v>261.57309109272239</c:v>
                </c:pt>
                <c:pt idx="23">
                  <c:v>250.2003480017344</c:v>
                </c:pt>
                <c:pt idx="24">
                  <c:v>239.77533350166223</c:v>
                </c:pt>
                <c:pt idx="25">
                  <c:v>230.18432016159571</c:v>
                </c:pt>
                <c:pt idx="26">
                  <c:v>221.33107707845744</c:v>
                </c:pt>
                <c:pt idx="27">
                  <c:v>213.1336297792553</c:v>
                </c:pt>
                <c:pt idx="28">
                  <c:v>205.52171442999617</c:v>
                </c:pt>
                <c:pt idx="29">
                  <c:v>198.4347587599963</c:v>
                </c:pt>
                <c:pt idx="30">
                  <c:v>191.82026680132978</c:v>
                </c:pt>
                <c:pt idx="31">
                  <c:v>185.63251625935143</c:v>
                </c:pt>
                <c:pt idx="32">
                  <c:v>179.83150012624668</c:v>
                </c:pt>
                <c:pt idx="33">
                  <c:v>174.38206072848158</c:v>
                </c:pt>
                <c:pt idx="34">
                  <c:v>169.25317658940861</c:v>
                </c:pt>
                <c:pt idx="35">
                  <c:v>164.41737154399695</c:v>
                </c:pt>
                <c:pt idx="36">
                  <c:v>159.8502223344415</c:v>
                </c:pt>
                <c:pt idx="37">
                  <c:v>155.52994605513223</c:v>
                </c:pt>
                <c:pt idx="38">
                  <c:v>151.43705273789192</c:v>
                </c:pt>
                <c:pt idx="39">
                  <c:v>147.5540513856383</c:v>
                </c:pt>
                <c:pt idx="40">
                  <c:v>143.86520010099733</c:v>
                </c:pt>
                <c:pt idx="41">
                  <c:v>140.35629278146081</c:v>
                </c:pt>
                <c:pt idx="42">
                  <c:v>137.01447628666412</c:v>
                </c:pt>
                <c:pt idx="43">
                  <c:v>133.82809311720678</c:v>
                </c:pt>
                <c:pt idx="44">
                  <c:v>130.7865455463612</c:v>
                </c:pt>
                <c:pt idx="45">
                  <c:v>127.88017786755316</c:v>
                </c:pt>
                <c:pt idx="46">
                  <c:v>125.1001740008672</c:v>
                </c:pt>
                <c:pt idx="47">
                  <c:v>122.43846817106156</c:v>
                </c:pt>
                <c:pt idx="48">
                  <c:v>119.88766675083112</c:v>
                </c:pt>
                <c:pt idx="49">
                  <c:v>117.44097967428353</c:v>
                </c:pt>
                <c:pt idx="50">
                  <c:v>115.09216008079785</c:v>
                </c:pt>
                <c:pt idx="51">
                  <c:v>112.83545105960575</c:v>
                </c:pt>
                <c:pt idx="52">
                  <c:v>110.66553853922872</c:v>
                </c:pt>
                <c:pt idx="53">
                  <c:v>108.57750951018667</c:v>
                </c:pt>
                <c:pt idx="54">
                  <c:v>106.56681488962765</c:v>
                </c:pt>
                <c:pt idx="55">
                  <c:v>104.62923643708898</c:v>
                </c:pt>
                <c:pt idx="56">
                  <c:v>102.76085721499808</c:v>
                </c:pt>
                <c:pt idx="57">
                  <c:v>100.95803515859461</c:v>
                </c:pt>
                <c:pt idx="58">
                  <c:v>99.21737937999815</c:v>
                </c:pt>
                <c:pt idx="59">
                  <c:v>97.535728882032103</c:v>
                </c:pt>
                <c:pt idx="60">
                  <c:v>95.91013340066489</c:v>
                </c:pt>
                <c:pt idx="61">
                  <c:v>94.337836131801524</c:v>
                </c:pt>
                <c:pt idx="62">
                  <c:v>92.816258129675717</c:v>
                </c:pt>
                <c:pt idx="63">
                  <c:v>91.342984191109409</c:v>
                </c:pt>
                <c:pt idx="64">
                  <c:v>89.91575006312334</c:v>
                </c:pt>
                <c:pt idx="65">
                  <c:v>88.532430831382968</c:v>
                </c:pt>
                <c:pt idx="66">
                  <c:v>87.191030364240788</c:v>
                </c:pt>
                <c:pt idx="67">
                  <c:v>85.889671702087952</c:v>
                </c:pt>
                <c:pt idx="68">
                  <c:v>84.626588294704305</c:v>
                </c:pt>
                <c:pt idx="69">
                  <c:v>83.400116000578166</c:v>
                </c:pt>
                <c:pt idx="70">
                  <c:v>82.489426667496929</c:v>
                </c:pt>
                <c:pt idx="71">
                  <c:v>81.957080926472344</c:v>
                </c:pt>
                <c:pt idx="72">
                  <c:v>81.425275140690644</c:v>
                </c:pt>
                <c:pt idx="73">
                  <c:v>80.894018845705986</c:v>
                </c:pt>
                <c:pt idx="74">
                  <c:v>80.363321780727333</c:v>
                </c:pt>
                <c:pt idx="75">
                  <c:v>79.83319389335422</c:v>
                </c:pt>
                <c:pt idx="76">
                  <c:v>79.303645344415642</c:v>
                </c:pt>
                <c:pt idx="77">
                  <c:v>78.774686512912993</c:v>
                </c:pt>
                <c:pt idx="78">
                  <c:v>78.246328001068349</c:v>
                </c:pt>
                <c:pt idx="79">
                  <c:v>77.718580639478617</c:v>
                </c:pt>
                <c:pt idx="80">
                  <c:v>77.191455492376733</c:v>
                </c:pt>
                <c:pt idx="81">
                  <c:v>76.664963863000196</c:v>
                </c:pt>
                <c:pt idx="82">
                  <c:v>76.139117299067806</c:v>
                </c:pt>
                <c:pt idx="83">
                  <c:v>75.61392759836454</c:v>
                </c:pt>
                <c:pt idx="84">
                  <c:v>75.08940681443508</c:v>
                </c:pt>
                <c:pt idx="85">
                  <c:v>74.565567262385912</c:v>
                </c:pt>
                <c:pt idx="86">
                  <c:v>74.042421524795429</c:v>
                </c:pt>
                <c:pt idx="87">
                  <c:v>73.519982457731942</c:v>
                </c:pt>
                <c:pt idx="88">
                  <c:v>72.998263196878838</c:v>
                </c:pt>
                <c:pt idx="89">
                  <c:v>72.477277163765521</c:v>
                </c:pt>
                <c:pt idx="90">
                  <c:v>71.957038072103273</c:v>
                </c:pt>
                <c:pt idx="91">
                  <c:v>71.437559934224183</c:v>
                </c:pt>
                <c:pt idx="92">
                  <c:v>70.918857067621147</c:v>
                </c:pt>
                <c:pt idx="93">
                  <c:v>70.40094410158666</c:v>
                </c:pt>
                <c:pt idx="94">
                  <c:v>69.883835983947549</c:v>
                </c:pt>
                <c:pt idx="95">
                  <c:v>69.367547987892564</c:v>
                </c:pt>
                <c:pt idx="96">
                  <c:v>68.852095718888989</c:v>
                </c:pt>
                <c:pt idx="97">
                  <c:v>68.337495121684157</c:v>
                </c:pt>
                <c:pt idx="98">
                  <c:v>67.823762487387114</c:v>
                </c:pt>
                <c:pt idx="99">
                  <c:v>67.310914460625099</c:v>
                </c:pt>
                <c:pt idx="100">
                  <c:v>66.798968046768749</c:v>
                </c:pt>
              </c:numCache>
            </c:numRef>
          </c:val>
          <c:smooth val="0"/>
        </c:ser>
        <c:ser>
          <c:idx val="0"/>
          <c:order val="1"/>
          <c:tx>
            <c:v>VIN-nom</c:v>
          </c:tx>
          <c:spPr>
            <a:ln w="19050">
              <a:solidFill>
                <a:srgbClr val="FF0000"/>
              </a:solidFill>
              <a:prstDash val="lgDash"/>
            </a:ln>
          </c:spPr>
          <c:marker>
            <c:symbol val="none"/>
          </c:marker>
          <c:cat>
            <c:numRef>
              <c:f>'Calculations - Single'!$AM$5:$AM$105</c:f>
              <c:numCache>
                <c:formatCode>0</c:formatCode>
                <c:ptCount val="101"/>
                <c:pt idx="0">
                  <c:v>1.0000000000000002E-6</c:v>
                </c:pt>
                <c:pt idx="1">
                  <c:v>3</c:v>
                </c:pt>
                <c:pt idx="2">
                  <c:v>6</c:v>
                </c:pt>
                <c:pt idx="3">
                  <c:v>9</c:v>
                </c:pt>
                <c:pt idx="4">
                  <c:v>12</c:v>
                </c:pt>
                <c:pt idx="5">
                  <c:v>15</c:v>
                </c:pt>
                <c:pt idx="6">
                  <c:v>18</c:v>
                </c:pt>
                <c:pt idx="7">
                  <c:v>21</c:v>
                </c:pt>
                <c:pt idx="8">
                  <c:v>24</c:v>
                </c:pt>
                <c:pt idx="9">
                  <c:v>27</c:v>
                </c:pt>
                <c:pt idx="10">
                  <c:v>30</c:v>
                </c:pt>
                <c:pt idx="11">
                  <c:v>33</c:v>
                </c:pt>
                <c:pt idx="12">
                  <c:v>36</c:v>
                </c:pt>
                <c:pt idx="13">
                  <c:v>39</c:v>
                </c:pt>
                <c:pt idx="14">
                  <c:v>42</c:v>
                </c:pt>
                <c:pt idx="15">
                  <c:v>45</c:v>
                </c:pt>
                <c:pt idx="16">
                  <c:v>48</c:v>
                </c:pt>
                <c:pt idx="17">
                  <c:v>51.000000000000007</c:v>
                </c:pt>
                <c:pt idx="18">
                  <c:v>54</c:v>
                </c:pt>
                <c:pt idx="19">
                  <c:v>56.999999999999993</c:v>
                </c:pt>
                <c:pt idx="20">
                  <c:v>60</c:v>
                </c:pt>
                <c:pt idx="21">
                  <c:v>63</c:v>
                </c:pt>
                <c:pt idx="22">
                  <c:v>66</c:v>
                </c:pt>
                <c:pt idx="23">
                  <c:v>69</c:v>
                </c:pt>
                <c:pt idx="24">
                  <c:v>72</c:v>
                </c:pt>
                <c:pt idx="25">
                  <c:v>75</c:v>
                </c:pt>
                <c:pt idx="26">
                  <c:v>78</c:v>
                </c:pt>
                <c:pt idx="27">
                  <c:v>81</c:v>
                </c:pt>
                <c:pt idx="28">
                  <c:v>84</c:v>
                </c:pt>
                <c:pt idx="29">
                  <c:v>87</c:v>
                </c:pt>
                <c:pt idx="30">
                  <c:v>90</c:v>
                </c:pt>
                <c:pt idx="31">
                  <c:v>93</c:v>
                </c:pt>
                <c:pt idx="32">
                  <c:v>96</c:v>
                </c:pt>
                <c:pt idx="33">
                  <c:v>99</c:v>
                </c:pt>
                <c:pt idx="34">
                  <c:v>102.00000000000001</c:v>
                </c:pt>
                <c:pt idx="35">
                  <c:v>105</c:v>
                </c:pt>
                <c:pt idx="36">
                  <c:v>108</c:v>
                </c:pt>
                <c:pt idx="37">
                  <c:v>111</c:v>
                </c:pt>
                <c:pt idx="38">
                  <c:v>113.99999999999999</c:v>
                </c:pt>
                <c:pt idx="39">
                  <c:v>117</c:v>
                </c:pt>
                <c:pt idx="40">
                  <c:v>120</c:v>
                </c:pt>
                <c:pt idx="41">
                  <c:v>122.99999999999999</c:v>
                </c:pt>
                <c:pt idx="42">
                  <c:v>126</c:v>
                </c:pt>
                <c:pt idx="43">
                  <c:v>129</c:v>
                </c:pt>
                <c:pt idx="44">
                  <c:v>132</c:v>
                </c:pt>
                <c:pt idx="45">
                  <c:v>135</c:v>
                </c:pt>
                <c:pt idx="46">
                  <c:v>138</c:v>
                </c:pt>
                <c:pt idx="47">
                  <c:v>141</c:v>
                </c:pt>
                <c:pt idx="48">
                  <c:v>144</c:v>
                </c:pt>
                <c:pt idx="49">
                  <c:v>147</c:v>
                </c:pt>
                <c:pt idx="50">
                  <c:v>150</c:v>
                </c:pt>
                <c:pt idx="51">
                  <c:v>153</c:v>
                </c:pt>
                <c:pt idx="52">
                  <c:v>156</c:v>
                </c:pt>
                <c:pt idx="53">
                  <c:v>159</c:v>
                </c:pt>
                <c:pt idx="54">
                  <c:v>162</c:v>
                </c:pt>
                <c:pt idx="55">
                  <c:v>165</c:v>
                </c:pt>
                <c:pt idx="56">
                  <c:v>168</c:v>
                </c:pt>
                <c:pt idx="57">
                  <c:v>170.99999999999997</c:v>
                </c:pt>
                <c:pt idx="58">
                  <c:v>174</c:v>
                </c:pt>
                <c:pt idx="59">
                  <c:v>177</c:v>
                </c:pt>
                <c:pt idx="60">
                  <c:v>180</c:v>
                </c:pt>
                <c:pt idx="61">
                  <c:v>183</c:v>
                </c:pt>
                <c:pt idx="62">
                  <c:v>186</c:v>
                </c:pt>
                <c:pt idx="63">
                  <c:v>189</c:v>
                </c:pt>
                <c:pt idx="64">
                  <c:v>192</c:v>
                </c:pt>
                <c:pt idx="65">
                  <c:v>195</c:v>
                </c:pt>
                <c:pt idx="66">
                  <c:v>198</c:v>
                </c:pt>
                <c:pt idx="67">
                  <c:v>201</c:v>
                </c:pt>
                <c:pt idx="68">
                  <c:v>204.00000000000003</c:v>
                </c:pt>
                <c:pt idx="69">
                  <c:v>207</c:v>
                </c:pt>
                <c:pt idx="70">
                  <c:v>210</c:v>
                </c:pt>
                <c:pt idx="71">
                  <c:v>213</c:v>
                </c:pt>
                <c:pt idx="72">
                  <c:v>216</c:v>
                </c:pt>
                <c:pt idx="73">
                  <c:v>219</c:v>
                </c:pt>
                <c:pt idx="74">
                  <c:v>222</c:v>
                </c:pt>
                <c:pt idx="75">
                  <c:v>224.99999999999997</c:v>
                </c:pt>
                <c:pt idx="76">
                  <c:v>227.99999999999997</c:v>
                </c:pt>
                <c:pt idx="77">
                  <c:v>230.99999999999997</c:v>
                </c:pt>
                <c:pt idx="78">
                  <c:v>234</c:v>
                </c:pt>
                <c:pt idx="79">
                  <c:v>237</c:v>
                </c:pt>
                <c:pt idx="80">
                  <c:v>240</c:v>
                </c:pt>
                <c:pt idx="81">
                  <c:v>243</c:v>
                </c:pt>
                <c:pt idx="82">
                  <c:v>245.99999999999997</c:v>
                </c:pt>
                <c:pt idx="83">
                  <c:v>248.99999999999997</c:v>
                </c:pt>
                <c:pt idx="84">
                  <c:v>252</c:v>
                </c:pt>
                <c:pt idx="85">
                  <c:v>255</c:v>
                </c:pt>
                <c:pt idx="86">
                  <c:v>258</c:v>
                </c:pt>
                <c:pt idx="87">
                  <c:v>261</c:v>
                </c:pt>
                <c:pt idx="88">
                  <c:v>264</c:v>
                </c:pt>
                <c:pt idx="89">
                  <c:v>267</c:v>
                </c:pt>
                <c:pt idx="90">
                  <c:v>270</c:v>
                </c:pt>
                <c:pt idx="91">
                  <c:v>273</c:v>
                </c:pt>
                <c:pt idx="92">
                  <c:v>276</c:v>
                </c:pt>
                <c:pt idx="93">
                  <c:v>279</c:v>
                </c:pt>
                <c:pt idx="94">
                  <c:v>282</c:v>
                </c:pt>
                <c:pt idx="95">
                  <c:v>285</c:v>
                </c:pt>
                <c:pt idx="96">
                  <c:v>288</c:v>
                </c:pt>
                <c:pt idx="97">
                  <c:v>291</c:v>
                </c:pt>
                <c:pt idx="98">
                  <c:v>294</c:v>
                </c:pt>
                <c:pt idx="99">
                  <c:v>297</c:v>
                </c:pt>
                <c:pt idx="100">
                  <c:v>300</c:v>
                </c:pt>
              </c:numCache>
            </c:numRef>
          </c:cat>
          <c:val>
            <c:numRef>
              <c:f>'Calculations - Single'!$AN$5:$AN$105</c:f>
              <c:numCache>
                <c:formatCode>0.0</c:formatCode>
                <c:ptCount val="101"/>
                <c:pt idx="0">
                  <c:v>10</c:v>
                </c:pt>
                <c:pt idx="1">
                  <c:v>27.199762187871581</c:v>
                </c:pt>
                <c:pt idx="2">
                  <c:v>54.399524375743162</c:v>
                </c:pt>
                <c:pt idx="3">
                  <c:v>81.599286563614726</c:v>
                </c:pt>
                <c:pt idx="4">
                  <c:v>108.79904875148632</c:v>
                </c:pt>
                <c:pt idx="5">
                  <c:v>135.9988109393579</c:v>
                </c:pt>
                <c:pt idx="6">
                  <c:v>163.19857312722945</c:v>
                </c:pt>
                <c:pt idx="7">
                  <c:v>190.39833531510109</c:v>
                </c:pt>
                <c:pt idx="8">
                  <c:v>217.59809750297265</c:v>
                </c:pt>
                <c:pt idx="9">
                  <c:v>244.79785969084423</c:v>
                </c:pt>
                <c:pt idx="10">
                  <c:v>271.99762187871579</c:v>
                </c:pt>
                <c:pt idx="11">
                  <c:v>299.1973840665874</c:v>
                </c:pt>
                <c:pt idx="12">
                  <c:v>326.3971462544589</c:v>
                </c:pt>
                <c:pt idx="13">
                  <c:v>350</c:v>
                </c:pt>
                <c:pt idx="14">
                  <c:v>350</c:v>
                </c:pt>
                <c:pt idx="15">
                  <c:v>350</c:v>
                </c:pt>
                <c:pt idx="16">
                  <c:v>350</c:v>
                </c:pt>
                <c:pt idx="17">
                  <c:v>350</c:v>
                </c:pt>
                <c:pt idx="18">
                  <c:v>350</c:v>
                </c:pt>
                <c:pt idx="19">
                  <c:v>350</c:v>
                </c:pt>
                <c:pt idx="20">
                  <c:v>350</c:v>
                </c:pt>
                <c:pt idx="21">
                  <c:v>350</c:v>
                </c:pt>
                <c:pt idx="22">
                  <c:v>350</c:v>
                </c:pt>
                <c:pt idx="23">
                  <c:v>350</c:v>
                </c:pt>
                <c:pt idx="24">
                  <c:v>350</c:v>
                </c:pt>
                <c:pt idx="25">
                  <c:v>350</c:v>
                </c:pt>
                <c:pt idx="26">
                  <c:v>350</c:v>
                </c:pt>
                <c:pt idx="27">
                  <c:v>350</c:v>
                </c:pt>
                <c:pt idx="28">
                  <c:v>350</c:v>
                </c:pt>
                <c:pt idx="29">
                  <c:v>350</c:v>
                </c:pt>
                <c:pt idx="30">
                  <c:v>350</c:v>
                </c:pt>
                <c:pt idx="31">
                  <c:v>350</c:v>
                </c:pt>
                <c:pt idx="32">
                  <c:v>350</c:v>
                </c:pt>
                <c:pt idx="33">
                  <c:v>341.66086417580397</c:v>
                </c:pt>
                <c:pt idx="34">
                  <c:v>331.61201522945674</c:v>
                </c:pt>
                <c:pt idx="35">
                  <c:v>322.13738622290089</c:v>
                </c:pt>
                <c:pt idx="36">
                  <c:v>313.18912549448709</c:v>
                </c:pt>
                <c:pt idx="37">
                  <c:v>304.72455453517648</c:v>
                </c:pt>
                <c:pt idx="38">
                  <c:v>296.70548731056664</c:v>
                </c:pt>
                <c:pt idx="39">
                  <c:v>289.09765430260342</c:v>
                </c:pt>
                <c:pt idx="40">
                  <c:v>281.87021294503836</c:v>
                </c:pt>
                <c:pt idx="41">
                  <c:v>274.9953297024764</c:v>
                </c:pt>
                <c:pt idx="42">
                  <c:v>268.44782185241741</c:v>
                </c:pt>
                <c:pt idx="43">
                  <c:v>262.20484925119843</c:v>
                </c:pt>
                <c:pt idx="44">
                  <c:v>256.24564813185299</c:v>
                </c:pt>
                <c:pt idx="45">
                  <c:v>250.55130039558961</c:v>
                </c:pt>
                <c:pt idx="46">
                  <c:v>245.10453299568547</c:v>
                </c:pt>
                <c:pt idx="47">
                  <c:v>239.88954293194749</c:v>
                </c:pt>
                <c:pt idx="48">
                  <c:v>234.89184412086527</c:v>
                </c:pt>
                <c:pt idx="49">
                  <c:v>230.09813301635779</c:v>
                </c:pt>
                <c:pt idx="50">
                  <c:v>225.49617035603063</c:v>
                </c:pt>
                <c:pt idx="51">
                  <c:v>221.07467681963789</c:v>
                </c:pt>
                <c:pt idx="52">
                  <c:v>216.82324072695255</c:v>
                </c:pt>
                <c:pt idx="53">
                  <c:v>212.73223618493455</c:v>
                </c:pt>
                <c:pt idx="54">
                  <c:v>208.79275032965796</c:v>
                </c:pt>
                <c:pt idx="55">
                  <c:v>204.99651850548236</c:v>
                </c:pt>
                <c:pt idx="56">
                  <c:v>201.33586638931305</c:v>
                </c:pt>
                <c:pt idx="57">
                  <c:v>197.80365820704444</c:v>
                </c:pt>
                <c:pt idx="58">
                  <c:v>194.39325030692297</c:v>
                </c:pt>
                <c:pt idx="59">
                  <c:v>191.09844945426326</c:v>
                </c:pt>
                <c:pt idx="60">
                  <c:v>187.91347529669218</c:v>
                </c:pt>
                <c:pt idx="61">
                  <c:v>184.83292652133659</c:v>
                </c:pt>
                <c:pt idx="62">
                  <c:v>181.85175028712149</c:v>
                </c:pt>
                <c:pt idx="63">
                  <c:v>178.96521456827827</c:v>
                </c:pt>
                <c:pt idx="64">
                  <c:v>176.16888309064893</c:v>
                </c:pt>
                <c:pt idx="65">
                  <c:v>173.45859258156204</c:v>
                </c:pt>
                <c:pt idx="66">
                  <c:v>170.83043208790198</c:v>
                </c:pt>
                <c:pt idx="67">
                  <c:v>168.28072414629153</c:v>
                </c:pt>
                <c:pt idx="68">
                  <c:v>165.80600761472837</c:v>
                </c:pt>
                <c:pt idx="69">
                  <c:v>163.40302199712366</c:v>
                </c:pt>
                <c:pt idx="70">
                  <c:v>161.06869311145044</c:v>
                </c:pt>
                <c:pt idx="71">
                  <c:v>158.80011996903565</c:v>
                </c:pt>
                <c:pt idx="72">
                  <c:v>156.59456274724354</c:v>
                </c:pt>
                <c:pt idx="73">
                  <c:v>154.44943175070594</c:v>
                </c:pt>
                <c:pt idx="74">
                  <c:v>152.36227726758824</c:v>
                </c:pt>
                <c:pt idx="75">
                  <c:v>150.33078023735376</c:v>
                </c:pt>
                <c:pt idx="76">
                  <c:v>148.35274365528332</c:v>
                </c:pt>
                <c:pt idx="77">
                  <c:v>146.42608464677315</c:v>
                </c:pt>
                <c:pt idx="78">
                  <c:v>144.54882715130171</c:v>
                </c:pt>
                <c:pt idx="79">
                  <c:v>142.71909516204471</c:v>
                </c:pt>
                <c:pt idx="80">
                  <c:v>140.93510647251918</c:v>
                </c:pt>
                <c:pt idx="81">
                  <c:v>139.19516688643864</c:v>
                </c:pt>
                <c:pt idx="82">
                  <c:v>137.4976648512382</c:v>
                </c:pt>
                <c:pt idx="83">
                  <c:v>135.84106647953655</c:v>
                </c:pt>
                <c:pt idx="84">
                  <c:v>134.2239109262087</c:v>
                </c:pt>
                <c:pt idx="85">
                  <c:v>132.64480609178273</c:v>
                </c:pt>
                <c:pt idx="86">
                  <c:v>131.10242462559921</c:v>
                </c:pt>
                <c:pt idx="87">
                  <c:v>129.59550020461532</c:v>
                </c:pt>
                <c:pt idx="88">
                  <c:v>128.12282406592649</c:v>
                </c:pt>
                <c:pt idx="89">
                  <c:v>126.68324177305091</c:v>
                </c:pt>
                <c:pt idx="90">
                  <c:v>125.2756501977948</c:v>
                </c:pt>
                <c:pt idx="91">
                  <c:v>123.89899470111574</c:v>
                </c:pt>
                <c:pt idx="92">
                  <c:v>122.55226649784274</c:v>
                </c:pt>
                <c:pt idx="93">
                  <c:v>121.2345001914143</c:v>
                </c:pt>
                <c:pt idx="94">
                  <c:v>119.94477146597374</c:v>
                </c:pt>
                <c:pt idx="95">
                  <c:v>118.68219492422669</c:v>
                </c:pt>
                <c:pt idx="96">
                  <c:v>117.44592206043264</c:v>
                </c:pt>
                <c:pt idx="97">
                  <c:v>116.23513935877868</c:v>
                </c:pt>
                <c:pt idx="98">
                  <c:v>115.21949979858776</c:v>
                </c:pt>
                <c:pt idx="99">
                  <c:v>114.31198858023114</c:v>
                </c:pt>
                <c:pt idx="100">
                  <c:v>113.40546312237386</c:v>
                </c:pt>
              </c:numCache>
            </c:numRef>
          </c:val>
          <c:smooth val="0"/>
        </c:ser>
        <c:ser>
          <c:idx val="2"/>
          <c:order val="2"/>
          <c:tx>
            <c:v>VIN-max</c:v>
          </c:tx>
          <c:spPr>
            <a:ln w="19050">
              <a:solidFill>
                <a:srgbClr val="0000FF"/>
              </a:solidFill>
              <a:prstDash val="lgDash"/>
            </a:ln>
          </c:spPr>
          <c:marker>
            <c:symbol val="none"/>
          </c:marker>
          <c:cat>
            <c:numRef>
              <c:f>'Calculations - Single'!$AM$5:$AM$105</c:f>
              <c:numCache>
                <c:formatCode>0</c:formatCode>
                <c:ptCount val="101"/>
                <c:pt idx="0">
                  <c:v>1.0000000000000002E-6</c:v>
                </c:pt>
                <c:pt idx="1">
                  <c:v>3</c:v>
                </c:pt>
                <c:pt idx="2">
                  <c:v>6</c:v>
                </c:pt>
                <c:pt idx="3">
                  <c:v>9</c:v>
                </c:pt>
                <c:pt idx="4">
                  <c:v>12</c:v>
                </c:pt>
                <c:pt idx="5">
                  <c:v>15</c:v>
                </c:pt>
                <c:pt idx="6">
                  <c:v>18</c:v>
                </c:pt>
                <c:pt idx="7">
                  <c:v>21</c:v>
                </c:pt>
                <c:pt idx="8">
                  <c:v>24</c:v>
                </c:pt>
                <c:pt idx="9">
                  <c:v>27</c:v>
                </c:pt>
                <c:pt idx="10">
                  <c:v>30</c:v>
                </c:pt>
                <c:pt idx="11">
                  <c:v>33</c:v>
                </c:pt>
                <c:pt idx="12">
                  <c:v>36</c:v>
                </c:pt>
                <c:pt idx="13">
                  <c:v>39</c:v>
                </c:pt>
                <c:pt idx="14">
                  <c:v>42</c:v>
                </c:pt>
                <c:pt idx="15">
                  <c:v>45</c:v>
                </c:pt>
                <c:pt idx="16">
                  <c:v>48</c:v>
                </c:pt>
                <c:pt idx="17">
                  <c:v>51.000000000000007</c:v>
                </c:pt>
                <c:pt idx="18">
                  <c:v>54</c:v>
                </c:pt>
                <c:pt idx="19">
                  <c:v>56.999999999999993</c:v>
                </c:pt>
                <c:pt idx="20">
                  <c:v>60</c:v>
                </c:pt>
                <c:pt idx="21">
                  <c:v>63</c:v>
                </c:pt>
                <c:pt idx="22">
                  <c:v>66</c:v>
                </c:pt>
                <c:pt idx="23">
                  <c:v>69</c:v>
                </c:pt>
                <c:pt idx="24">
                  <c:v>72</c:v>
                </c:pt>
                <c:pt idx="25">
                  <c:v>75</c:v>
                </c:pt>
                <c:pt idx="26">
                  <c:v>78</c:v>
                </c:pt>
                <c:pt idx="27">
                  <c:v>81</c:v>
                </c:pt>
                <c:pt idx="28">
                  <c:v>84</c:v>
                </c:pt>
                <c:pt idx="29">
                  <c:v>87</c:v>
                </c:pt>
                <c:pt idx="30">
                  <c:v>90</c:v>
                </c:pt>
                <c:pt idx="31">
                  <c:v>93</c:v>
                </c:pt>
                <c:pt idx="32">
                  <c:v>96</c:v>
                </c:pt>
                <c:pt idx="33">
                  <c:v>99</c:v>
                </c:pt>
                <c:pt idx="34">
                  <c:v>102.00000000000001</c:v>
                </c:pt>
                <c:pt idx="35">
                  <c:v>105</c:v>
                </c:pt>
                <c:pt idx="36">
                  <c:v>108</c:v>
                </c:pt>
                <c:pt idx="37">
                  <c:v>111</c:v>
                </c:pt>
                <c:pt idx="38">
                  <c:v>113.99999999999999</c:v>
                </c:pt>
                <c:pt idx="39">
                  <c:v>117</c:v>
                </c:pt>
                <c:pt idx="40">
                  <c:v>120</c:v>
                </c:pt>
                <c:pt idx="41">
                  <c:v>122.99999999999999</c:v>
                </c:pt>
                <c:pt idx="42">
                  <c:v>126</c:v>
                </c:pt>
                <c:pt idx="43">
                  <c:v>129</c:v>
                </c:pt>
                <c:pt idx="44">
                  <c:v>132</c:v>
                </c:pt>
                <c:pt idx="45">
                  <c:v>135</c:v>
                </c:pt>
                <c:pt idx="46">
                  <c:v>138</c:v>
                </c:pt>
                <c:pt idx="47">
                  <c:v>141</c:v>
                </c:pt>
                <c:pt idx="48">
                  <c:v>144</c:v>
                </c:pt>
                <c:pt idx="49">
                  <c:v>147</c:v>
                </c:pt>
                <c:pt idx="50">
                  <c:v>150</c:v>
                </c:pt>
                <c:pt idx="51">
                  <c:v>153</c:v>
                </c:pt>
                <c:pt idx="52">
                  <c:v>156</c:v>
                </c:pt>
                <c:pt idx="53">
                  <c:v>159</c:v>
                </c:pt>
                <c:pt idx="54">
                  <c:v>162</c:v>
                </c:pt>
                <c:pt idx="55">
                  <c:v>165</c:v>
                </c:pt>
                <c:pt idx="56">
                  <c:v>168</c:v>
                </c:pt>
                <c:pt idx="57">
                  <c:v>170.99999999999997</c:v>
                </c:pt>
                <c:pt idx="58">
                  <c:v>174</c:v>
                </c:pt>
                <c:pt idx="59">
                  <c:v>177</c:v>
                </c:pt>
                <c:pt idx="60">
                  <c:v>180</c:v>
                </c:pt>
                <c:pt idx="61">
                  <c:v>183</c:v>
                </c:pt>
                <c:pt idx="62">
                  <c:v>186</c:v>
                </c:pt>
                <c:pt idx="63">
                  <c:v>189</c:v>
                </c:pt>
                <c:pt idx="64">
                  <c:v>192</c:v>
                </c:pt>
                <c:pt idx="65">
                  <c:v>195</c:v>
                </c:pt>
                <c:pt idx="66">
                  <c:v>198</c:v>
                </c:pt>
                <c:pt idx="67">
                  <c:v>201</c:v>
                </c:pt>
                <c:pt idx="68">
                  <c:v>204.00000000000003</c:v>
                </c:pt>
                <c:pt idx="69">
                  <c:v>207</c:v>
                </c:pt>
                <c:pt idx="70">
                  <c:v>210</c:v>
                </c:pt>
                <c:pt idx="71">
                  <c:v>213</c:v>
                </c:pt>
                <c:pt idx="72">
                  <c:v>216</c:v>
                </c:pt>
                <c:pt idx="73">
                  <c:v>219</c:v>
                </c:pt>
                <c:pt idx="74">
                  <c:v>222</c:v>
                </c:pt>
                <c:pt idx="75">
                  <c:v>224.99999999999997</c:v>
                </c:pt>
                <c:pt idx="76">
                  <c:v>227.99999999999997</c:v>
                </c:pt>
                <c:pt idx="77">
                  <c:v>230.99999999999997</c:v>
                </c:pt>
                <c:pt idx="78">
                  <c:v>234</c:v>
                </c:pt>
                <c:pt idx="79">
                  <c:v>237</c:v>
                </c:pt>
                <c:pt idx="80">
                  <c:v>240</c:v>
                </c:pt>
                <c:pt idx="81">
                  <c:v>243</c:v>
                </c:pt>
                <c:pt idx="82">
                  <c:v>245.99999999999997</c:v>
                </c:pt>
                <c:pt idx="83">
                  <c:v>248.99999999999997</c:v>
                </c:pt>
                <c:pt idx="84">
                  <c:v>252</c:v>
                </c:pt>
                <c:pt idx="85">
                  <c:v>255</c:v>
                </c:pt>
                <c:pt idx="86">
                  <c:v>258</c:v>
                </c:pt>
                <c:pt idx="87">
                  <c:v>261</c:v>
                </c:pt>
                <c:pt idx="88">
                  <c:v>264</c:v>
                </c:pt>
                <c:pt idx="89">
                  <c:v>267</c:v>
                </c:pt>
                <c:pt idx="90">
                  <c:v>270</c:v>
                </c:pt>
                <c:pt idx="91">
                  <c:v>273</c:v>
                </c:pt>
                <c:pt idx="92">
                  <c:v>276</c:v>
                </c:pt>
                <c:pt idx="93">
                  <c:v>279</c:v>
                </c:pt>
                <c:pt idx="94">
                  <c:v>282</c:v>
                </c:pt>
                <c:pt idx="95">
                  <c:v>285</c:v>
                </c:pt>
                <c:pt idx="96">
                  <c:v>288</c:v>
                </c:pt>
                <c:pt idx="97">
                  <c:v>291</c:v>
                </c:pt>
                <c:pt idx="98">
                  <c:v>294</c:v>
                </c:pt>
                <c:pt idx="99">
                  <c:v>297</c:v>
                </c:pt>
                <c:pt idx="100">
                  <c:v>300</c:v>
                </c:pt>
              </c:numCache>
            </c:numRef>
          </c:cat>
          <c:val>
            <c:numRef>
              <c:f>'Calculations - Single'!$AN$216:$AN$316</c:f>
              <c:numCache>
                <c:formatCode>0.0</c:formatCode>
                <c:ptCount val="101"/>
                <c:pt idx="0">
                  <c:v>10</c:v>
                </c:pt>
                <c:pt idx="1">
                  <c:v>27.199762187871581</c:v>
                </c:pt>
                <c:pt idx="2">
                  <c:v>54.399524375743162</c:v>
                </c:pt>
                <c:pt idx="3">
                  <c:v>81.599286563614726</c:v>
                </c:pt>
                <c:pt idx="4">
                  <c:v>108.79904875148632</c:v>
                </c:pt>
                <c:pt idx="5">
                  <c:v>135.9988109393579</c:v>
                </c:pt>
                <c:pt idx="6">
                  <c:v>163.19857312722945</c:v>
                </c:pt>
                <c:pt idx="7">
                  <c:v>190.39833531510109</c:v>
                </c:pt>
                <c:pt idx="8">
                  <c:v>217.59809750297265</c:v>
                </c:pt>
                <c:pt idx="9">
                  <c:v>244.79785969084423</c:v>
                </c:pt>
                <c:pt idx="10">
                  <c:v>271.99762187871579</c:v>
                </c:pt>
                <c:pt idx="11">
                  <c:v>299.1973840665874</c:v>
                </c:pt>
                <c:pt idx="12">
                  <c:v>326.3971462544589</c:v>
                </c:pt>
                <c:pt idx="13">
                  <c:v>350</c:v>
                </c:pt>
                <c:pt idx="14">
                  <c:v>350</c:v>
                </c:pt>
                <c:pt idx="15">
                  <c:v>350</c:v>
                </c:pt>
                <c:pt idx="16">
                  <c:v>350</c:v>
                </c:pt>
                <c:pt idx="17">
                  <c:v>350</c:v>
                </c:pt>
                <c:pt idx="18">
                  <c:v>350</c:v>
                </c:pt>
                <c:pt idx="19">
                  <c:v>350</c:v>
                </c:pt>
                <c:pt idx="20">
                  <c:v>350</c:v>
                </c:pt>
                <c:pt idx="21">
                  <c:v>350</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350</c:v>
                </c:pt>
                <c:pt idx="57">
                  <c:v>350</c:v>
                </c:pt>
                <c:pt idx="58">
                  <c:v>350</c:v>
                </c:pt>
                <c:pt idx="59">
                  <c:v>350</c:v>
                </c:pt>
                <c:pt idx="60">
                  <c:v>350</c:v>
                </c:pt>
                <c:pt idx="61">
                  <c:v>350</c:v>
                </c:pt>
                <c:pt idx="62">
                  <c:v>350</c:v>
                </c:pt>
                <c:pt idx="63">
                  <c:v>345.0502193656074</c:v>
                </c:pt>
                <c:pt idx="64">
                  <c:v>339.6588096880198</c:v>
                </c:pt>
                <c:pt idx="65">
                  <c:v>334.43328953897333</c:v>
                </c:pt>
                <c:pt idx="66">
                  <c:v>329.36611848535244</c:v>
                </c:pt>
                <c:pt idx="67">
                  <c:v>324.45020626915317</c:v>
                </c:pt>
                <c:pt idx="68">
                  <c:v>319.67887970637162</c:v>
                </c:pt>
                <c:pt idx="69">
                  <c:v>315.04585246425029</c:v>
                </c:pt>
                <c:pt idx="70">
                  <c:v>310.54519742904671</c:v>
                </c:pt>
                <c:pt idx="71">
                  <c:v>306.17132140891931</c:v>
                </c:pt>
                <c:pt idx="72">
                  <c:v>301.91894194490646</c:v>
                </c:pt>
                <c:pt idx="73">
                  <c:v>297.78306602785301</c:v>
                </c:pt>
                <c:pt idx="74">
                  <c:v>293.75897054099011</c:v>
                </c:pt>
                <c:pt idx="75">
                  <c:v>289.84218426711033</c:v>
                </c:pt>
                <c:pt idx="76">
                  <c:v>286.02847131622724</c:v>
                </c:pt>
                <c:pt idx="77">
                  <c:v>282.31381584458785</c:v>
                </c:pt>
                <c:pt idx="78">
                  <c:v>278.69440794914448</c:v>
                </c:pt>
                <c:pt idx="79">
                  <c:v>275.16663063333255</c:v>
                </c:pt>
                <c:pt idx="80">
                  <c:v>271.72704775041592</c:v>
                </c:pt>
                <c:pt idx="81">
                  <c:v>268.37239283991687</c:v>
                </c:pt>
                <c:pt idx="82">
                  <c:v>265.09955878089357</c:v>
                </c:pt>
                <c:pt idx="83">
                  <c:v>261.90558819317192</c:v>
                </c:pt>
                <c:pt idx="84">
                  <c:v>258.78766452420552</c:v>
                </c:pt>
                <c:pt idx="85">
                  <c:v>255.74310376509723</c:v>
                </c:pt>
                <c:pt idx="86">
                  <c:v>252.76934674457291</c:v>
                </c:pt>
                <c:pt idx="87">
                  <c:v>249.86395195440537</c:v>
                </c:pt>
                <c:pt idx="88">
                  <c:v>247.02458886401439</c:v>
                </c:pt>
                <c:pt idx="89">
                  <c:v>244.24903168576702</c:v>
                </c:pt>
                <c:pt idx="90">
                  <c:v>241.53515355592518</c:v>
                </c:pt>
                <c:pt idx="91">
                  <c:v>238.88092109926663</c:v>
                </c:pt>
                <c:pt idx="92">
                  <c:v>236.28438934818766</c:v>
                </c:pt>
                <c:pt idx="93">
                  <c:v>233.74369698960501</c:v>
                </c:pt>
                <c:pt idx="94">
                  <c:v>231.25706191524756</c:v>
                </c:pt>
                <c:pt idx="95">
                  <c:v>228.82277705298185</c:v>
                </c:pt>
                <c:pt idx="96">
                  <c:v>226.43920645867985</c:v>
                </c:pt>
                <c:pt idx="97">
                  <c:v>224.10478164982752</c:v>
                </c:pt>
                <c:pt idx="98">
                  <c:v>221.81799816360476</c:v>
                </c:pt>
                <c:pt idx="99">
                  <c:v>219.57741232356832</c:v>
                </c:pt>
                <c:pt idx="100">
                  <c:v>217.38163820033265</c:v>
                </c:pt>
              </c:numCache>
            </c:numRef>
          </c:val>
          <c:smooth val="0"/>
        </c:ser>
        <c:ser>
          <c:idx val="3"/>
          <c:order val="3"/>
          <c:spPr>
            <a:ln>
              <a:noFill/>
            </a:ln>
          </c:spPr>
          <c:marker>
            <c:symbol val="x"/>
            <c:size val="10"/>
            <c:spPr>
              <a:pattFill prst="pct5">
                <a:fgClr>
                  <a:schemeClr val="tx1"/>
                </a:fgClr>
                <a:bgClr>
                  <a:schemeClr val="bg1"/>
                </a:bgClr>
              </a:pattFill>
              <a:ln>
                <a:solidFill>
                  <a:srgbClr val="33CC33"/>
                </a:solidFill>
              </a:ln>
            </c:spPr>
          </c:marker>
          <c:cat>
            <c:numRef>
              <c:f>'Calculations - Single'!$AM$5:$AM$105</c:f>
              <c:numCache>
                <c:formatCode>0</c:formatCode>
                <c:ptCount val="101"/>
                <c:pt idx="0">
                  <c:v>1.0000000000000002E-6</c:v>
                </c:pt>
                <c:pt idx="1">
                  <c:v>3</c:v>
                </c:pt>
                <c:pt idx="2">
                  <c:v>6</c:v>
                </c:pt>
                <c:pt idx="3">
                  <c:v>9</c:v>
                </c:pt>
                <c:pt idx="4">
                  <c:v>12</c:v>
                </c:pt>
                <c:pt idx="5">
                  <c:v>15</c:v>
                </c:pt>
                <c:pt idx="6">
                  <c:v>18</c:v>
                </c:pt>
                <c:pt idx="7">
                  <c:v>21</c:v>
                </c:pt>
                <c:pt idx="8">
                  <c:v>24</c:v>
                </c:pt>
                <c:pt idx="9">
                  <c:v>27</c:v>
                </c:pt>
                <c:pt idx="10">
                  <c:v>30</c:v>
                </c:pt>
                <c:pt idx="11">
                  <c:v>33</c:v>
                </c:pt>
                <c:pt idx="12">
                  <c:v>36</c:v>
                </c:pt>
                <c:pt idx="13">
                  <c:v>39</c:v>
                </c:pt>
                <c:pt idx="14">
                  <c:v>42</c:v>
                </c:pt>
                <c:pt idx="15">
                  <c:v>45</c:v>
                </c:pt>
                <c:pt idx="16">
                  <c:v>48</c:v>
                </c:pt>
                <c:pt idx="17">
                  <c:v>51.000000000000007</c:v>
                </c:pt>
                <c:pt idx="18">
                  <c:v>54</c:v>
                </c:pt>
                <c:pt idx="19">
                  <c:v>56.999999999999993</c:v>
                </c:pt>
                <c:pt idx="20">
                  <c:v>60</c:v>
                </c:pt>
                <c:pt idx="21">
                  <c:v>63</c:v>
                </c:pt>
                <c:pt idx="22">
                  <c:v>66</c:v>
                </c:pt>
                <c:pt idx="23">
                  <c:v>69</c:v>
                </c:pt>
                <c:pt idx="24">
                  <c:v>72</c:v>
                </c:pt>
                <c:pt idx="25">
                  <c:v>75</c:v>
                </c:pt>
                <c:pt idx="26">
                  <c:v>78</c:v>
                </c:pt>
                <c:pt idx="27">
                  <c:v>81</c:v>
                </c:pt>
                <c:pt idx="28">
                  <c:v>84</c:v>
                </c:pt>
                <c:pt idx="29">
                  <c:v>87</c:v>
                </c:pt>
                <c:pt idx="30">
                  <c:v>90</c:v>
                </c:pt>
                <c:pt idx="31">
                  <c:v>93</c:v>
                </c:pt>
                <c:pt idx="32">
                  <c:v>96</c:v>
                </c:pt>
                <c:pt idx="33">
                  <c:v>99</c:v>
                </c:pt>
                <c:pt idx="34">
                  <c:v>102.00000000000001</c:v>
                </c:pt>
                <c:pt idx="35">
                  <c:v>105</c:v>
                </c:pt>
                <c:pt idx="36">
                  <c:v>108</c:v>
                </c:pt>
                <c:pt idx="37">
                  <c:v>111</c:v>
                </c:pt>
                <c:pt idx="38">
                  <c:v>113.99999999999999</c:v>
                </c:pt>
                <c:pt idx="39">
                  <c:v>117</c:v>
                </c:pt>
                <c:pt idx="40">
                  <c:v>120</c:v>
                </c:pt>
                <c:pt idx="41">
                  <c:v>122.99999999999999</c:v>
                </c:pt>
                <c:pt idx="42">
                  <c:v>126</c:v>
                </c:pt>
                <c:pt idx="43">
                  <c:v>129</c:v>
                </c:pt>
                <c:pt idx="44">
                  <c:v>132</c:v>
                </c:pt>
                <c:pt idx="45">
                  <c:v>135</c:v>
                </c:pt>
                <c:pt idx="46">
                  <c:v>138</c:v>
                </c:pt>
                <c:pt idx="47">
                  <c:v>141</c:v>
                </c:pt>
                <c:pt idx="48">
                  <c:v>144</c:v>
                </c:pt>
                <c:pt idx="49">
                  <c:v>147</c:v>
                </c:pt>
                <c:pt idx="50">
                  <c:v>150</c:v>
                </c:pt>
                <c:pt idx="51">
                  <c:v>153</c:v>
                </c:pt>
                <c:pt idx="52">
                  <c:v>156</c:v>
                </c:pt>
                <c:pt idx="53">
                  <c:v>159</c:v>
                </c:pt>
                <c:pt idx="54">
                  <c:v>162</c:v>
                </c:pt>
                <c:pt idx="55">
                  <c:v>165</c:v>
                </c:pt>
                <c:pt idx="56">
                  <c:v>168</c:v>
                </c:pt>
                <c:pt idx="57">
                  <c:v>170.99999999999997</c:v>
                </c:pt>
                <c:pt idx="58">
                  <c:v>174</c:v>
                </c:pt>
                <c:pt idx="59">
                  <c:v>177</c:v>
                </c:pt>
                <c:pt idx="60">
                  <c:v>180</c:v>
                </c:pt>
                <c:pt idx="61">
                  <c:v>183</c:v>
                </c:pt>
                <c:pt idx="62">
                  <c:v>186</c:v>
                </c:pt>
                <c:pt idx="63">
                  <c:v>189</c:v>
                </c:pt>
                <c:pt idx="64">
                  <c:v>192</c:v>
                </c:pt>
                <c:pt idx="65">
                  <c:v>195</c:v>
                </c:pt>
                <c:pt idx="66">
                  <c:v>198</c:v>
                </c:pt>
                <c:pt idx="67">
                  <c:v>201</c:v>
                </c:pt>
                <c:pt idx="68">
                  <c:v>204.00000000000003</c:v>
                </c:pt>
                <c:pt idx="69">
                  <c:v>207</c:v>
                </c:pt>
                <c:pt idx="70">
                  <c:v>210</c:v>
                </c:pt>
                <c:pt idx="71">
                  <c:v>213</c:v>
                </c:pt>
                <c:pt idx="72">
                  <c:v>216</c:v>
                </c:pt>
                <c:pt idx="73">
                  <c:v>219</c:v>
                </c:pt>
                <c:pt idx="74">
                  <c:v>222</c:v>
                </c:pt>
                <c:pt idx="75">
                  <c:v>224.99999999999997</c:v>
                </c:pt>
                <c:pt idx="76">
                  <c:v>227.99999999999997</c:v>
                </c:pt>
                <c:pt idx="77">
                  <c:v>230.99999999999997</c:v>
                </c:pt>
                <c:pt idx="78">
                  <c:v>234</c:v>
                </c:pt>
                <c:pt idx="79">
                  <c:v>237</c:v>
                </c:pt>
                <c:pt idx="80">
                  <c:v>240</c:v>
                </c:pt>
                <c:pt idx="81">
                  <c:v>243</c:v>
                </c:pt>
                <c:pt idx="82">
                  <c:v>245.99999999999997</c:v>
                </c:pt>
                <c:pt idx="83">
                  <c:v>248.99999999999997</c:v>
                </c:pt>
                <c:pt idx="84">
                  <c:v>252</c:v>
                </c:pt>
                <c:pt idx="85">
                  <c:v>255</c:v>
                </c:pt>
                <c:pt idx="86">
                  <c:v>258</c:v>
                </c:pt>
                <c:pt idx="87">
                  <c:v>261</c:v>
                </c:pt>
                <c:pt idx="88">
                  <c:v>264</c:v>
                </c:pt>
                <c:pt idx="89">
                  <c:v>267</c:v>
                </c:pt>
                <c:pt idx="90">
                  <c:v>270</c:v>
                </c:pt>
                <c:pt idx="91">
                  <c:v>273</c:v>
                </c:pt>
                <c:pt idx="92">
                  <c:v>276</c:v>
                </c:pt>
                <c:pt idx="93">
                  <c:v>279</c:v>
                </c:pt>
                <c:pt idx="94">
                  <c:v>282</c:v>
                </c:pt>
                <c:pt idx="95">
                  <c:v>285</c:v>
                </c:pt>
                <c:pt idx="96">
                  <c:v>288</c:v>
                </c:pt>
                <c:pt idx="97">
                  <c:v>291</c:v>
                </c:pt>
                <c:pt idx="98">
                  <c:v>294</c:v>
                </c:pt>
                <c:pt idx="99">
                  <c:v>297</c:v>
                </c:pt>
                <c:pt idx="100">
                  <c:v>300</c:v>
                </c:pt>
              </c:numCache>
            </c:numRef>
          </c:cat>
          <c:val>
            <c:numRef>
              <c:f>'Calculations - Single'!$CB$110:$CB$210</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82.489426667496929</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ser>
        <c:ser>
          <c:idx val="4"/>
          <c:order val="4"/>
          <c:spPr>
            <a:ln>
              <a:noFill/>
            </a:ln>
          </c:spPr>
          <c:marker>
            <c:symbol val="x"/>
            <c:size val="10"/>
            <c:spPr>
              <a:pattFill prst="pct5">
                <a:fgClr>
                  <a:schemeClr val="tx1"/>
                </a:fgClr>
                <a:bgClr>
                  <a:schemeClr val="bg1"/>
                </a:bgClr>
              </a:pattFill>
              <a:ln>
                <a:solidFill>
                  <a:srgbClr val="0000FF"/>
                </a:solidFill>
              </a:ln>
            </c:spPr>
          </c:marker>
          <c:cat>
            <c:numRef>
              <c:f>'Calculations - Single'!$AM$5:$AM$105</c:f>
              <c:numCache>
                <c:formatCode>0</c:formatCode>
                <c:ptCount val="101"/>
                <c:pt idx="0">
                  <c:v>1.0000000000000002E-6</c:v>
                </c:pt>
                <c:pt idx="1">
                  <c:v>3</c:v>
                </c:pt>
                <c:pt idx="2">
                  <c:v>6</c:v>
                </c:pt>
                <c:pt idx="3">
                  <c:v>9</c:v>
                </c:pt>
                <c:pt idx="4">
                  <c:v>12</c:v>
                </c:pt>
                <c:pt idx="5">
                  <c:v>15</c:v>
                </c:pt>
                <c:pt idx="6">
                  <c:v>18</c:v>
                </c:pt>
                <c:pt idx="7">
                  <c:v>21</c:v>
                </c:pt>
                <c:pt idx="8">
                  <c:v>24</c:v>
                </c:pt>
                <c:pt idx="9">
                  <c:v>27</c:v>
                </c:pt>
                <c:pt idx="10">
                  <c:v>30</c:v>
                </c:pt>
                <c:pt idx="11">
                  <c:v>33</c:v>
                </c:pt>
                <c:pt idx="12">
                  <c:v>36</c:v>
                </c:pt>
                <c:pt idx="13">
                  <c:v>39</c:v>
                </c:pt>
                <c:pt idx="14">
                  <c:v>42</c:v>
                </c:pt>
                <c:pt idx="15">
                  <c:v>45</c:v>
                </c:pt>
                <c:pt idx="16">
                  <c:v>48</c:v>
                </c:pt>
                <c:pt idx="17">
                  <c:v>51.000000000000007</c:v>
                </c:pt>
                <c:pt idx="18">
                  <c:v>54</c:v>
                </c:pt>
                <c:pt idx="19">
                  <c:v>56.999999999999993</c:v>
                </c:pt>
                <c:pt idx="20">
                  <c:v>60</c:v>
                </c:pt>
                <c:pt idx="21">
                  <c:v>63</c:v>
                </c:pt>
                <c:pt idx="22">
                  <c:v>66</c:v>
                </c:pt>
                <c:pt idx="23">
                  <c:v>69</c:v>
                </c:pt>
                <c:pt idx="24">
                  <c:v>72</c:v>
                </c:pt>
                <c:pt idx="25">
                  <c:v>75</c:v>
                </c:pt>
                <c:pt idx="26">
                  <c:v>78</c:v>
                </c:pt>
                <c:pt idx="27">
                  <c:v>81</c:v>
                </c:pt>
                <c:pt idx="28">
                  <c:v>84</c:v>
                </c:pt>
                <c:pt idx="29">
                  <c:v>87</c:v>
                </c:pt>
                <c:pt idx="30">
                  <c:v>90</c:v>
                </c:pt>
                <c:pt idx="31">
                  <c:v>93</c:v>
                </c:pt>
                <c:pt idx="32">
                  <c:v>96</c:v>
                </c:pt>
                <c:pt idx="33">
                  <c:v>99</c:v>
                </c:pt>
                <c:pt idx="34">
                  <c:v>102.00000000000001</c:v>
                </c:pt>
                <c:pt idx="35">
                  <c:v>105</c:v>
                </c:pt>
                <c:pt idx="36">
                  <c:v>108</c:v>
                </c:pt>
                <c:pt idx="37">
                  <c:v>111</c:v>
                </c:pt>
                <c:pt idx="38">
                  <c:v>113.99999999999999</c:v>
                </c:pt>
                <c:pt idx="39">
                  <c:v>117</c:v>
                </c:pt>
                <c:pt idx="40">
                  <c:v>120</c:v>
                </c:pt>
                <c:pt idx="41">
                  <c:v>122.99999999999999</c:v>
                </c:pt>
                <c:pt idx="42">
                  <c:v>126</c:v>
                </c:pt>
                <c:pt idx="43">
                  <c:v>129</c:v>
                </c:pt>
                <c:pt idx="44">
                  <c:v>132</c:v>
                </c:pt>
                <c:pt idx="45">
                  <c:v>135</c:v>
                </c:pt>
                <c:pt idx="46">
                  <c:v>138</c:v>
                </c:pt>
                <c:pt idx="47">
                  <c:v>141</c:v>
                </c:pt>
                <c:pt idx="48">
                  <c:v>144</c:v>
                </c:pt>
                <c:pt idx="49">
                  <c:v>147</c:v>
                </c:pt>
                <c:pt idx="50">
                  <c:v>150</c:v>
                </c:pt>
                <c:pt idx="51">
                  <c:v>153</c:v>
                </c:pt>
                <c:pt idx="52">
                  <c:v>156</c:v>
                </c:pt>
                <c:pt idx="53">
                  <c:v>159</c:v>
                </c:pt>
                <c:pt idx="54">
                  <c:v>162</c:v>
                </c:pt>
                <c:pt idx="55">
                  <c:v>165</c:v>
                </c:pt>
                <c:pt idx="56">
                  <c:v>168</c:v>
                </c:pt>
                <c:pt idx="57">
                  <c:v>170.99999999999997</c:v>
                </c:pt>
                <c:pt idx="58">
                  <c:v>174</c:v>
                </c:pt>
                <c:pt idx="59">
                  <c:v>177</c:v>
                </c:pt>
                <c:pt idx="60">
                  <c:v>180</c:v>
                </c:pt>
                <c:pt idx="61">
                  <c:v>183</c:v>
                </c:pt>
                <c:pt idx="62">
                  <c:v>186</c:v>
                </c:pt>
                <c:pt idx="63">
                  <c:v>189</c:v>
                </c:pt>
                <c:pt idx="64">
                  <c:v>192</c:v>
                </c:pt>
                <c:pt idx="65">
                  <c:v>195</c:v>
                </c:pt>
                <c:pt idx="66">
                  <c:v>198</c:v>
                </c:pt>
                <c:pt idx="67">
                  <c:v>201</c:v>
                </c:pt>
                <c:pt idx="68">
                  <c:v>204.00000000000003</c:v>
                </c:pt>
                <c:pt idx="69">
                  <c:v>207</c:v>
                </c:pt>
                <c:pt idx="70">
                  <c:v>210</c:v>
                </c:pt>
                <c:pt idx="71">
                  <c:v>213</c:v>
                </c:pt>
                <c:pt idx="72">
                  <c:v>216</c:v>
                </c:pt>
                <c:pt idx="73">
                  <c:v>219</c:v>
                </c:pt>
                <c:pt idx="74">
                  <c:v>222</c:v>
                </c:pt>
                <c:pt idx="75">
                  <c:v>224.99999999999997</c:v>
                </c:pt>
                <c:pt idx="76">
                  <c:v>227.99999999999997</c:v>
                </c:pt>
                <c:pt idx="77">
                  <c:v>230.99999999999997</c:v>
                </c:pt>
                <c:pt idx="78">
                  <c:v>234</c:v>
                </c:pt>
                <c:pt idx="79">
                  <c:v>237</c:v>
                </c:pt>
                <c:pt idx="80">
                  <c:v>240</c:v>
                </c:pt>
                <c:pt idx="81">
                  <c:v>243</c:v>
                </c:pt>
                <c:pt idx="82">
                  <c:v>245.99999999999997</c:v>
                </c:pt>
                <c:pt idx="83">
                  <c:v>248.99999999999997</c:v>
                </c:pt>
                <c:pt idx="84">
                  <c:v>252</c:v>
                </c:pt>
                <c:pt idx="85">
                  <c:v>255</c:v>
                </c:pt>
                <c:pt idx="86">
                  <c:v>258</c:v>
                </c:pt>
                <c:pt idx="87">
                  <c:v>261</c:v>
                </c:pt>
                <c:pt idx="88">
                  <c:v>264</c:v>
                </c:pt>
                <c:pt idx="89">
                  <c:v>267</c:v>
                </c:pt>
                <c:pt idx="90">
                  <c:v>270</c:v>
                </c:pt>
                <c:pt idx="91">
                  <c:v>273</c:v>
                </c:pt>
                <c:pt idx="92">
                  <c:v>276</c:v>
                </c:pt>
                <c:pt idx="93">
                  <c:v>279</c:v>
                </c:pt>
                <c:pt idx="94">
                  <c:v>282</c:v>
                </c:pt>
                <c:pt idx="95">
                  <c:v>285</c:v>
                </c:pt>
                <c:pt idx="96">
                  <c:v>288</c:v>
                </c:pt>
                <c:pt idx="97">
                  <c:v>291</c:v>
                </c:pt>
                <c:pt idx="98">
                  <c:v>294</c:v>
                </c:pt>
                <c:pt idx="99">
                  <c:v>297</c:v>
                </c:pt>
                <c:pt idx="100">
                  <c:v>300</c:v>
                </c:pt>
              </c:numCache>
            </c:numRef>
          </c:cat>
          <c:val>
            <c:numRef>
              <c:f>'Calculations - Single'!$CB$5:$CB$105</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116.23513935877868</c:v>
                </c:pt>
                <c:pt idx="98">
                  <c:v>-50</c:v>
                </c:pt>
                <c:pt idx="99">
                  <c:v>-50</c:v>
                </c:pt>
                <c:pt idx="100">
                  <c:v>-50</c:v>
                </c:pt>
              </c:numCache>
            </c:numRef>
          </c:val>
          <c:smooth val="0"/>
        </c:ser>
        <c:ser>
          <c:idx val="5"/>
          <c:order val="5"/>
          <c:spPr>
            <a:ln>
              <a:noFill/>
            </a:ln>
          </c:spPr>
          <c:marker>
            <c:symbol val="x"/>
            <c:size val="10"/>
            <c:spPr>
              <a:pattFill prst="pct5">
                <a:fgClr>
                  <a:schemeClr val="tx1"/>
                </a:fgClr>
                <a:bgClr>
                  <a:schemeClr val="bg1"/>
                </a:bgClr>
              </a:pattFill>
              <a:ln>
                <a:solidFill>
                  <a:srgbClr val="FF0000"/>
                </a:solidFill>
              </a:ln>
            </c:spPr>
          </c:marker>
          <c:cat>
            <c:numRef>
              <c:f>'Calculations - Single'!$AM$5:$AM$105</c:f>
              <c:numCache>
                <c:formatCode>0</c:formatCode>
                <c:ptCount val="101"/>
                <c:pt idx="0">
                  <c:v>1.0000000000000002E-6</c:v>
                </c:pt>
                <c:pt idx="1">
                  <c:v>3</c:v>
                </c:pt>
                <c:pt idx="2">
                  <c:v>6</c:v>
                </c:pt>
                <c:pt idx="3">
                  <c:v>9</c:v>
                </c:pt>
                <c:pt idx="4">
                  <c:v>12</c:v>
                </c:pt>
                <c:pt idx="5">
                  <c:v>15</c:v>
                </c:pt>
                <c:pt idx="6">
                  <c:v>18</c:v>
                </c:pt>
                <c:pt idx="7">
                  <c:v>21</c:v>
                </c:pt>
                <c:pt idx="8">
                  <c:v>24</c:v>
                </c:pt>
                <c:pt idx="9">
                  <c:v>27</c:v>
                </c:pt>
                <c:pt idx="10">
                  <c:v>30</c:v>
                </c:pt>
                <c:pt idx="11">
                  <c:v>33</c:v>
                </c:pt>
                <c:pt idx="12">
                  <c:v>36</c:v>
                </c:pt>
                <c:pt idx="13">
                  <c:v>39</c:v>
                </c:pt>
                <c:pt idx="14">
                  <c:v>42</c:v>
                </c:pt>
                <c:pt idx="15">
                  <c:v>45</c:v>
                </c:pt>
                <c:pt idx="16">
                  <c:v>48</c:v>
                </c:pt>
                <c:pt idx="17">
                  <c:v>51.000000000000007</c:v>
                </c:pt>
                <c:pt idx="18">
                  <c:v>54</c:v>
                </c:pt>
                <c:pt idx="19">
                  <c:v>56.999999999999993</c:v>
                </c:pt>
                <c:pt idx="20">
                  <c:v>60</c:v>
                </c:pt>
                <c:pt idx="21">
                  <c:v>63</c:v>
                </c:pt>
                <c:pt idx="22">
                  <c:v>66</c:v>
                </c:pt>
                <c:pt idx="23">
                  <c:v>69</c:v>
                </c:pt>
                <c:pt idx="24">
                  <c:v>72</c:v>
                </c:pt>
                <c:pt idx="25">
                  <c:v>75</c:v>
                </c:pt>
                <c:pt idx="26">
                  <c:v>78</c:v>
                </c:pt>
                <c:pt idx="27">
                  <c:v>81</c:v>
                </c:pt>
                <c:pt idx="28">
                  <c:v>84</c:v>
                </c:pt>
                <c:pt idx="29">
                  <c:v>87</c:v>
                </c:pt>
                <c:pt idx="30">
                  <c:v>90</c:v>
                </c:pt>
                <c:pt idx="31">
                  <c:v>93</c:v>
                </c:pt>
                <c:pt idx="32">
                  <c:v>96</c:v>
                </c:pt>
                <c:pt idx="33">
                  <c:v>99</c:v>
                </c:pt>
                <c:pt idx="34">
                  <c:v>102.00000000000001</c:v>
                </c:pt>
                <c:pt idx="35">
                  <c:v>105</c:v>
                </c:pt>
                <c:pt idx="36">
                  <c:v>108</c:v>
                </c:pt>
                <c:pt idx="37">
                  <c:v>111</c:v>
                </c:pt>
                <c:pt idx="38">
                  <c:v>113.99999999999999</c:v>
                </c:pt>
                <c:pt idx="39">
                  <c:v>117</c:v>
                </c:pt>
                <c:pt idx="40">
                  <c:v>120</c:v>
                </c:pt>
                <c:pt idx="41">
                  <c:v>122.99999999999999</c:v>
                </c:pt>
                <c:pt idx="42">
                  <c:v>126</c:v>
                </c:pt>
                <c:pt idx="43">
                  <c:v>129</c:v>
                </c:pt>
                <c:pt idx="44">
                  <c:v>132</c:v>
                </c:pt>
                <c:pt idx="45">
                  <c:v>135</c:v>
                </c:pt>
                <c:pt idx="46">
                  <c:v>138</c:v>
                </c:pt>
                <c:pt idx="47">
                  <c:v>141</c:v>
                </c:pt>
                <c:pt idx="48">
                  <c:v>144</c:v>
                </c:pt>
                <c:pt idx="49">
                  <c:v>147</c:v>
                </c:pt>
                <c:pt idx="50">
                  <c:v>150</c:v>
                </c:pt>
                <c:pt idx="51">
                  <c:v>153</c:v>
                </c:pt>
                <c:pt idx="52">
                  <c:v>156</c:v>
                </c:pt>
                <c:pt idx="53">
                  <c:v>159</c:v>
                </c:pt>
                <c:pt idx="54">
                  <c:v>162</c:v>
                </c:pt>
                <c:pt idx="55">
                  <c:v>165</c:v>
                </c:pt>
                <c:pt idx="56">
                  <c:v>168</c:v>
                </c:pt>
                <c:pt idx="57">
                  <c:v>170.99999999999997</c:v>
                </c:pt>
                <c:pt idx="58">
                  <c:v>174</c:v>
                </c:pt>
                <c:pt idx="59">
                  <c:v>177</c:v>
                </c:pt>
                <c:pt idx="60">
                  <c:v>180</c:v>
                </c:pt>
                <c:pt idx="61">
                  <c:v>183</c:v>
                </c:pt>
                <c:pt idx="62">
                  <c:v>186</c:v>
                </c:pt>
                <c:pt idx="63">
                  <c:v>189</c:v>
                </c:pt>
                <c:pt idx="64">
                  <c:v>192</c:v>
                </c:pt>
                <c:pt idx="65">
                  <c:v>195</c:v>
                </c:pt>
                <c:pt idx="66">
                  <c:v>198</c:v>
                </c:pt>
                <c:pt idx="67">
                  <c:v>201</c:v>
                </c:pt>
                <c:pt idx="68">
                  <c:v>204.00000000000003</c:v>
                </c:pt>
                <c:pt idx="69">
                  <c:v>207</c:v>
                </c:pt>
                <c:pt idx="70">
                  <c:v>210</c:v>
                </c:pt>
                <c:pt idx="71">
                  <c:v>213</c:v>
                </c:pt>
                <c:pt idx="72">
                  <c:v>216</c:v>
                </c:pt>
                <c:pt idx="73">
                  <c:v>219</c:v>
                </c:pt>
                <c:pt idx="74">
                  <c:v>222</c:v>
                </c:pt>
                <c:pt idx="75">
                  <c:v>224.99999999999997</c:v>
                </c:pt>
                <c:pt idx="76">
                  <c:v>227.99999999999997</c:v>
                </c:pt>
                <c:pt idx="77">
                  <c:v>230.99999999999997</c:v>
                </c:pt>
                <c:pt idx="78">
                  <c:v>234</c:v>
                </c:pt>
                <c:pt idx="79">
                  <c:v>237</c:v>
                </c:pt>
                <c:pt idx="80">
                  <c:v>240</c:v>
                </c:pt>
                <c:pt idx="81">
                  <c:v>243</c:v>
                </c:pt>
                <c:pt idx="82">
                  <c:v>245.99999999999997</c:v>
                </c:pt>
                <c:pt idx="83">
                  <c:v>248.99999999999997</c:v>
                </c:pt>
                <c:pt idx="84">
                  <c:v>252</c:v>
                </c:pt>
                <c:pt idx="85">
                  <c:v>255</c:v>
                </c:pt>
                <c:pt idx="86">
                  <c:v>258</c:v>
                </c:pt>
                <c:pt idx="87">
                  <c:v>261</c:v>
                </c:pt>
                <c:pt idx="88">
                  <c:v>264</c:v>
                </c:pt>
                <c:pt idx="89">
                  <c:v>267</c:v>
                </c:pt>
                <c:pt idx="90">
                  <c:v>270</c:v>
                </c:pt>
                <c:pt idx="91">
                  <c:v>273</c:v>
                </c:pt>
                <c:pt idx="92">
                  <c:v>276</c:v>
                </c:pt>
                <c:pt idx="93">
                  <c:v>279</c:v>
                </c:pt>
                <c:pt idx="94">
                  <c:v>282</c:v>
                </c:pt>
                <c:pt idx="95">
                  <c:v>285</c:v>
                </c:pt>
                <c:pt idx="96">
                  <c:v>288</c:v>
                </c:pt>
                <c:pt idx="97">
                  <c:v>291</c:v>
                </c:pt>
                <c:pt idx="98">
                  <c:v>294</c:v>
                </c:pt>
                <c:pt idx="99">
                  <c:v>297</c:v>
                </c:pt>
                <c:pt idx="100">
                  <c:v>300</c:v>
                </c:pt>
              </c:numCache>
            </c:numRef>
          </c:cat>
          <c:val>
            <c:numRef>
              <c:f>'Calculations - Single'!$CB$216:$CB$316</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ser>
        <c:dLbls>
          <c:showLegendKey val="0"/>
          <c:showVal val="0"/>
          <c:showCatName val="0"/>
          <c:showSerName val="0"/>
          <c:showPercent val="0"/>
          <c:showBubbleSize val="0"/>
        </c:dLbls>
        <c:marker val="1"/>
        <c:smooth val="0"/>
        <c:axId val="129522688"/>
        <c:axId val="129528960"/>
      </c:lineChart>
      <c:lineChart>
        <c:grouping val="standard"/>
        <c:varyColors val="0"/>
        <c:ser>
          <c:idx val="6"/>
          <c:order val="6"/>
          <c:spPr>
            <a:ln w="31750">
              <a:solidFill>
                <a:srgbClr val="FF0000"/>
              </a:solidFill>
            </a:ln>
          </c:spPr>
          <c:marker>
            <c:symbol val="none"/>
          </c:marker>
          <c:val>
            <c:numRef>
              <c:f>'Calculations - Single'!$AW$5:$AW$105</c:f>
              <c:numCache>
                <c:formatCode>0.000</c:formatCode>
                <c:ptCount val="101"/>
                <c:pt idx="0">
                  <c:v>9.6666666666666672E-3</c:v>
                </c:pt>
                <c:pt idx="1">
                  <c:v>2.6293103448275866E-2</c:v>
                </c:pt>
                <c:pt idx="2">
                  <c:v>5.2586206896551732E-2</c:v>
                </c:pt>
                <c:pt idx="3">
                  <c:v>7.8879310344827563E-2</c:v>
                </c:pt>
                <c:pt idx="4">
                  <c:v>0.10517241379310346</c:v>
                </c:pt>
                <c:pt idx="5">
                  <c:v>0.13146551724137931</c:v>
                </c:pt>
                <c:pt idx="6">
                  <c:v>0.15775862068965513</c:v>
                </c:pt>
                <c:pt idx="7">
                  <c:v>0.18405172413793108</c:v>
                </c:pt>
                <c:pt idx="8">
                  <c:v>0.21034482758620693</c:v>
                </c:pt>
                <c:pt idx="9">
                  <c:v>0.2366379310344828</c:v>
                </c:pt>
                <c:pt idx="10">
                  <c:v>0.26293103448275862</c:v>
                </c:pt>
                <c:pt idx="11">
                  <c:v>0.28922413793103452</c:v>
                </c:pt>
                <c:pt idx="12">
                  <c:v>0.32117445494464436</c:v>
                </c:pt>
                <c:pt idx="13">
                  <c:v>0.35846250901645266</c:v>
                </c:pt>
                <c:pt idx="14">
                  <c:v>0.37199412579989699</c:v>
                </c:pt>
                <c:pt idx="15">
                  <c:v>0.38505050173826399</c:v>
                </c:pt>
                <c:pt idx="16">
                  <c:v>0.39767844818162856</c:v>
                </c:pt>
                <c:pt idx="17">
                  <c:v>0.40991756172114346</c:v>
                </c:pt>
                <c:pt idx="18">
                  <c:v>0.42180169116145882</c:v>
                </c:pt>
                <c:pt idx="19">
                  <c:v>0.43336004191194871</c:v>
                </c:pt>
                <c:pt idx="20">
                  <c:v>0.44461802166037445</c:v>
                </c:pt>
                <c:pt idx="21">
                  <c:v>0.45559789776122139</c:v>
                </c:pt>
                <c:pt idx="22">
                  <c:v>0.46631931517330882</c:v>
                </c:pt>
                <c:pt idx="23">
                  <c:v>0.47679970948288453</c:v>
                </c:pt>
                <c:pt idx="24">
                  <c:v>0.48705463987341524</c:v>
                </c:pt>
                <c:pt idx="25">
                  <c:v>0.49709806022703562</c:v>
                </c:pt>
                <c:pt idx="26">
                  <c:v>0.50694254185335508</c:v>
                </c:pt>
                <c:pt idx="27">
                  <c:v>0.51659945799429563</c:v>
                </c:pt>
                <c:pt idx="28">
                  <c:v>0.52607913782933768</c:v>
                </c:pt>
                <c:pt idx="29">
                  <c:v>0.53539099592589201</c:v>
                </c:pt>
                <c:pt idx="30">
                  <c:v>0.54454364175681813</c:v>
                </c:pt>
                <c:pt idx="31">
                  <c:v>0.55354497291280413</c:v>
                </c:pt>
                <c:pt idx="32">
                  <c:v>0.56240225488194506</c:v>
                </c:pt>
                <c:pt idx="33">
                  <c:v>0.55751457394068593</c:v>
                </c:pt>
                <c:pt idx="34">
                  <c:v>0.54925464214367314</c:v>
                </c:pt>
                <c:pt idx="35">
                  <c:v>0.54135128561133894</c:v>
                </c:pt>
                <c:pt idx="36">
                  <c:v>0.55963302752293576</c:v>
                </c:pt>
                <c:pt idx="37">
                  <c:v>0.55963302752293576</c:v>
                </c:pt>
                <c:pt idx="38">
                  <c:v>0.55963302752293587</c:v>
                </c:pt>
                <c:pt idx="39">
                  <c:v>0.55963302752293576</c:v>
                </c:pt>
                <c:pt idx="40">
                  <c:v>0.55963302752293587</c:v>
                </c:pt>
                <c:pt idx="41">
                  <c:v>0.55963302752293564</c:v>
                </c:pt>
                <c:pt idx="42">
                  <c:v>0.55963302752293587</c:v>
                </c:pt>
                <c:pt idx="43">
                  <c:v>0.55963302752293576</c:v>
                </c:pt>
                <c:pt idx="44">
                  <c:v>0.55963302752293587</c:v>
                </c:pt>
                <c:pt idx="45">
                  <c:v>0.55963302752293587</c:v>
                </c:pt>
                <c:pt idx="46">
                  <c:v>0.55963302752293576</c:v>
                </c:pt>
                <c:pt idx="47">
                  <c:v>0.55963302752293587</c:v>
                </c:pt>
                <c:pt idx="48">
                  <c:v>0.55963302752293576</c:v>
                </c:pt>
                <c:pt idx="49">
                  <c:v>0.55963302752293587</c:v>
                </c:pt>
                <c:pt idx="50">
                  <c:v>0.55963302752293564</c:v>
                </c:pt>
                <c:pt idx="51">
                  <c:v>0.55963302752293576</c:v>
                </c:pt>
                <c:pt idx="52">
                  <c:v>0.55963302752293564</c:v>
                </c:pt>
                <c:pt idx="53">
                  <c:v>0.55963302752293576</c:v>
                </c:pt>
                <c:pt idx="54">
                  <c:v>0.55963302752293576</c:v>
                </c:pt>
                <c:pt idx="55">
                  <c:v>0.55963302752293576</c:v>
                </c:pt>
                <c:pt idx="56">
                  <c:v>0.55963302752293576</c:v>
                </c:pt>
                <c:pt idx="57">
                  <c:v>0.55963302752293587</c:v>
                </c:pt>
                <c:pt idx="58">
                  <c:v>0.55963302752293576</c:v>
                </c:pt>
                <c:pt idx="59">
                  <c:v>0.55963302752293587</c:v>
                </c:pt>
                <c:pt idx="60">
                  <c:v>0.55963302752293564</c:v>
                </c:pt>
                <c:pt idx="61">
                  <c:v>0.55963302752293576</c:v>
                </c:pt>
                <c:pt idx="62">
                  <c:v>0.55963302752293576</c:v>
                </c:pt>
                <c:pt idx="63">
                  <c:v>0.55963302752293576</c:v>
                </c:pt>
                <c:pt idx="64">
                  <c:v>0.55963302752293576</c:v>
                </c:pt>
                <c:pt idx="65">
                  <c:v>0.55963302752293587</c:v>
                </c:pt>
                <c:pt idx="66">
                  <c:v>0.55963302752293587</c:v>
                </c:pt>
                <c:pt idx="67">
                  <c:v>0.55963302752293587</c:v>
                </c:pt>
                <c:pt idx="68">
                  <c:v>0.55963302752293564</c:v>
                </c:pt>
                <c:pt idx="69">
                  <c:v>0.55963302752293576</c:v>
                </c:pt>
                <c:pt idx="70">
                  <c:v>0.55963302752293576</c:v>
                </c:pt>
                <c:pt idx="71">
                  <c:v>0.55963302752293576</c:v>
                </c:pt>
                <c:pt idx="72">
                  <c:v>0.55963302752293576</c:v>
                </c:pt>
                <c:pt idx="73">
                  <c:v>0.55963302752293587</c:v>
                </c:pt>
                <c:pt idx="74">
                  <c:v>0.55963302752293576</c:v>
                </c:pt>
                <c:pt idx="75">
                  <c:v>0.55963302752293576</c:v>
                </c:pt>
                <c:pt idx="76">
                  <c:v>0.55963302752293587</c:v>
                </c:pt>
                <c:pt idx="77">
                  <c:v>0.55963302752293564</c:v>
                </c:pt>
                <c:pt idx="78">
                  <c:v>0.55963302752293576</c:v>
                </c:pt>
                <c:pt idx="79">
                  <c:v>0.55963302752293576</c:v>
                </c:pt>
                <c:pt idx="80">
                  <c:v>0.55963302752293587</c:v>
                </c:pt>
                <c:pt idx="81">
                  <c:v>0.55963302752293564</c:v>
                </c:pt>
                <c:pt idx="82">
                  <c:v>0.55963302752293564</c:v>
                </c:pt>
                <c:pt idx="83">
                  <c:v>0.55963302752293576</c:v>
                </c:pt>
                <c:pt idx="84">
                  <c:v>0.55963302752293587</c:v>
                </c:pt>
                <c:pt idx="85">
                  <c:v>0.55963302752293576</c:v>
                </c:pt>
                <c:pt idx="86">
                  <c:v>0.55963302752293576</c:v>
                </c:pt>
                <c:pt idx="87">
                  <c:v>0.55963302752293576</c:v>
                </c:pt>
                <c:pt idx="88">
                  <c:v>0.55963302752293587</c:v>
                </c:pt>
                <c:pt idx="89">
                  <c:v>0.55963302752293576</c:v>
                </c:pt>
                <c:pt idx="90">
                  <c:v>0.55963302752293587</c:v>
                </c:pt>
                <c:pt idx="91">
                  <c:v>0.55963302752293576</c:v>
                </c:pt>
                <c:pt idx="92">
                  <c:v>0.55963302752293576</c:v>
                </c:pt>
                <c:pt idx="93">
                  <c:v>0.55963302752293576</c:v>
                </c:pt>
                <c:pt idx="94">
                  <c:v>0.55963302752293587</c:v>
                </c:pt>
                <c:pt idx="95">
                  <c:v>0.55963302752293587</c:v>
                </c:pt>
                <c:pt idx="96">
                  <c:v>0.55963302752293576</c:v>
                </c:pt>
                <c:pt idx="97">
                  <c:v>0.55963302752293576</c:v>
                </c:pt>
                <c:pt idx="98">
                  <c:v>0.55689424902650742</c:v>
                </c:pt>
                <c:pt idx="99">
                  <c:v>0.55250794480445053</c:v>
                </c:pt>
                <c:pt idx="100">
                  <c:v>0.54812640509147359</c:v>
                </c:pt>
              </c:numCache>
            </c:numRef>
          </c:val>
          <c:smooth val="0"/>
        </c:ser>
        <c:ser>
          <c:idx val="7"/>
          <c:order val="7"/>
          <c:spPr>
            <a:ln w="31750">
              <a:solidFill>
                <a:srgbClr val="00B050"/>
              </a:solidFill>
            </a:ln>
          </c:spPr>
          <c:marker>
            <c:symbol val="none"/>
          </c:marker>
          <c:val>
            <c:numRef>
              <c:f>'Calculations - Single'!$AW$110:$AW$210</c:f>
              <c:numCache>
                <c:formatCode>0.000</c:formatCode>
                <c:ptCount val="101"/>
                <c:pt idx="0">
                  <c:v>1.6571428571428574E-2</c:v>
                </c:pt>
                <c:pt idx="1">
                  <c:v>4.5073891625615765E-2</c:v>
                </c:pt>
                <c:pt idx="2">
                  <c:v>9.0147783251231531E-2</c:v>
                </c:pt>
                <c:pt idx="3">
                  <c:v>0.13522167487684725</c:v>
                </c:pt>
                <c:pt idx="4">
                  <c:v>0.18029556650246306</c:v>
                </c:pt>
                <c:pt idx="5">
                  <c:v>0.22536945812807882</c:v>
                </c:pt>
                <c:pt idx="6">
                  <c:v>0.2704433497536945</c:v>
                </c:pt>
                <c:pt idx="7">
                  <c:v>0.31551724137931036</c:v>
                </c:pt>
                <c:pt idx="8">
                  <c:v>0.36059113300492612</c:v>
                </c:pt>
                <c:pt idx="9">
                  <c:v>0.40566502463054188</c:v>
                </c:pt>
                <c:pt idx="10">
                  <c:v>0.45073891625615764</c:v>
                </c:pt>
                <c:pt idx="11">
                  <c:v>0.49581280788177345</c:v>
                </c:pt>
                <c:pt idx="12">
                  <c:v>0.54088669950738899</c:v>
                </c:pt>
                <c:pt idx="13">
                  <c:v>0.58297267762489779</c:v>
                </c:pt>
                <c:pt idx="14">
                  <c:v>0.60497933849016694</c:v>
                </c:pt>
                <c:pt idx="15">
                  <c:v>0.62621310840867672</c:v>
                </c:pt>
                <c:pt idx="16">
                  <c:v>0.64675011734495591</c:v>
                </c:pt>
                <c:pt idx="17">
                  <c:v>0.64476249213054948</c:v>
                </c:pt>
                <c:pt idx="18">
                  <c:v>0.6853932584269663</c:v>
                </c:pt>
                <c:pt idx="19">
                  <c:v>0.68539325842696619</c:v>
                </c:pt>
                <c:pt idx="20">
                  <c:v>0.6853932584269663</c:v>
                </c:pt>
                <c:pt idx="21">
                  <c:v>0.68539325842696619</c:v>
                </c:pt>
                <c:pt idx="22">
                  <c:v>0.68539325842696619</c:v>
                </c:pt>
                <c:pt idx="23">
                  <c:v>0.6853932584269663</c:v>
                </c:pt>
                <c:pt idx="24">
                  <c:v>0.6853932584269663</c:v>
                </c:pt>
                <c:pt idx="25">
                  <c:v>0.6853932584269663</c:v>
                </c:pt>
                <c:pt idx="26">
                  <c:v>0.6853932584269663</c:v>
                </c:pt>
                <c:pt idx="27">
                  <c:v>0.68539325842696641</c:v>
                </c:pt>
                <c:pt idx="28">
                  <c:v>0.6853932584269663</c:v>
                </c:pt>
                <c:pt idx="29">
                  <c:v>0.6853932584269663</c:v>
                </c:pt>
                <c:pt idx="30">
                  <c:v>0.6853932584269663</c:v>
                </c:pt>
                <c:pt idx="31">
                  <c:v>0.68539325842696641</c:v>
                </c:pt>
                <c:pt idx="32">
                  <c:v>0.6853932584269663</c:v>
                </c:pt>
                <c:pt idx="33">
                  <c:v>0.6853932584269663</c:v>
                </c:pt>
                <c:pt idx="34">
                  <c:v>0.68539325842696619</c:v>
                </c:pt>
                <c:pt idx="35">
                  <c:v>0.6853932584269663</c:v>
                </c:pt>
                <c:pt idx="36">
                  <c:v>0.6853932584269663</c:v>
                </c:pt>
                <c:pt idx="37">
                  <c:v>0.6853932584269663</c:v>
                </c:pt>
                <c:pt idx="38">
                  <c:v>0.68539325842696619</c:v>
                </c:pt>
                <c:pt idx="39">
                  <c:v>0.68539325842696619</c:v>
                </c:pt>
                <c:pt idx="40">
                  <c:v>0.6853932584269663</c:v>
                </c:pt>
                <c:pt idx="41">
                  <c:v>0.68539325842696619</c:v>
                </c:pt>
                <c:pt idx="42">
                  <c:v>0.68539325842696619</c:v>
                </c:pt>
                <c:pt idx="43">
                  <c:v>0.68539325842696619</c:v>
                </c:pt>
                <c:pt idx="44">
                  <c:v>0.68539325842696619</c:v>
                </c:pt>
                <c:pt idx="45">
                  <c:v>0.6853932584269663</c:v>
                </c:pt>
                <c:pt idx="46">
                  <c:v>0.6853932584269663</c:v>
                </c:pt>
                <c:pt idx="47">
                  <c:v>0.68539325842696619</c:v>
                </c:pt>
                <c:pt idx="48">
                  <c:v>0.6853932584269663</c:v>
                </c:pt>
                <c:pt idx="49">
                  <c:v>0.68539325842696619</c:v>
                </c:pt>
                <c:pt idx="50">
                  <c:v>0.6853932584269663</c:v>
                </c:pt>
                <c:pt idx="51">
                  <c:v>0.6853932584269663</c:v>
                </c:pt>
                <c:pt idx="52">
                  <c:v>0.6853932584269663</c:v>
                </c:pt>
                <c:pt idx="53">
                  <c:v>0.6853932584269663</c:v>
                </c:pt>
                <c:pt idx="54">
                  <c:v>0.68539325842696641</c:v>
                </c:pt>
                <c:pt idx="55">
                  <c:v>0.6853932584269663</c:v>
                </c:pt>
                <c:pt idx="56">
                  <c:v>0.6853932584269663</c:v>
                </c:pt>
                <c:pt idx="57">
                  <c:v>0.6853932584269663</c:v>
                </c:pt>
                <c:pt idx="58">
                  <c:v>0.6853932584269663</c:v>
                </c:pt>
                <c:pt idx="59">
                  <c:v>0.6853932584269663</c:v>
                </c:pt>
                <c:pt idx="60">
                  <c:v>0.6853932584269663</c:v>
                </c:pt>
                <c:pt idx="61">
                  <c:v>0.6853932584269663</c:v>
                </c:pt>
                <c:pt idx="62">
                  <c:v>0.68539325842696641</c:v>
                </c:pt>
                <c:pt idx="63">
                  <c:v>0.68539325842696619</c:v>
                </c:pt>
                <c:pt idx="64">
                  <c:v>0.6853932584269663</c:v>
                </c:pt>
                <c:pt idx="65">
                  <c:v>0.6853932584269663</c:v>
                </c:pt>
                <c:pt idx="66">
                  <c:v>0.6853932584269663</c:v>
                </c:pt>
                <c:pt idx="67">
                  <c:v>0.6853932584269663</c:v>
                </c:pt>
                <c:pt idx="68">
                  <c:v>0.68539325842696619</c:v>
                </c:pt>
                <c:pt idx="69">
                  <c:v>0.6853932584269663</c:v>
                </c:pt>
                <c:pt idx="70">
                  <c:v>0.68348382095926019</c:v>
                </c:pt>
                <c:pt idx="71">
                  <c:v>0.67907295624791364</c:v>
                </c:pt>
                <c:pt idx="72">
                  <c:v>0.67466656545143677</c:v>
                </c:pt>
                <c:pt idx="73">
                  <c:v>0.67026472757870659</c:v>
                </c:pt>
                <c:pt idx="74">
                  <c:v>0.66586752332602639</c:v>
                </c:pt>
                <c:pt idx="75">
                  <c:v>0.66147503511636352</c:v>
                </c:pt>
                <c:pt idx="76">
                  <c:v>0.65708734713944383</c:v>
                </c:pt>
                <c:pt idx="77">
                  <c:v>0.6527045453927075</c:v>
                </c:pt>
                <c:pt idx="78">
                  <c:v>0.64832671772313766</c:v>
                </c:pt>
                <c:pt idx="79">
                  <c:v>0.64395395386996568</c:v>
                </c:pt>
                <c:pt idx="80">
                  <c:v>0.63958634550826432</c:v>
                </c:pt>
                <c:pt idx="81">
                  <c:v>0.63522398629343013</c:v>
                </c:pt>
                <c:pt idx="82">
                  <c:v>0.63086697190656171</c:v>
                </c:pt>
                <c:pt idx="83">
                  <c:v>0.62651540010073459</c:v>
                </c:pt>
                <c:pt idx="84">
                  <c:v>0.62216937074817635</c:v>
                </c:pt>
                <c:pt idx="85">
                  <c:v>0.61782898588834034</c:v>
                </c:pt>
                <c:pt idx="86">
                  <c:v>0.61349434977687645</c:v>
                </c:pt>
                <c:pt idx="87">
                  <c:v>0.60916556893549312</c:v>
                </c:pt>
                <c:pt idx="88">
                  <c:v>0.60484275220271022</c:v>
                </c:pt>
                <c:pt idx="89">
                  <c:v>0.60052601078548562</c:v>
                </c:pt>
                <c:pt idx="90">
                  <c:v>0.59621545831171274</c:v>
                </c:pt>
                <c:pt idx="91">
                  <c:v>0.59191121088357168</c:v>
                </c:pt>
                <c:pt idx="92">
                  <c:v>0.58761338713171796</c:v>
                </c:pt>
                <c:pt idx="93">
                  <c:v>0.58332210827028941</c:v>
                </c:pt>
                <c:pt idx="94">
                  <c:v>0.57903749815270822</c:v>
                </c:pt>
                <c:pt idx="95">
                  <c:v>0.57475968332825267</c:v>
                </c:pt>
                <c:pt idx="96">
                  <c:v>0.57048879309936584</c:v>
                </c:pt>
                <c:pt idx="97">
                  <c:v>0.56622495957966867</c:v>
                </c:pt>
                <c:pt idx="98">
                  <c:v>0.561968317752636</c:v>
                </c:pt>
                <c:pt idx="99">
                  <c:v>0.5577190055308936</c:v>
                </c:pt>
                <c:pt idx="100">
                  <c:v>0.55347716381608381</c:v>
                </c:pt>
              </c:numCache>
            </c:numRef>
          </c:val>
          <c:smooth val="0"/>
        </c:ser>
        <c:ser>
          <c:idx val="8"/>
          <c:order val="8"/>
          <c:spPr>
            <a:ln w="31750">
              <a:solidFill>
                <a:srgbClr val="0000FF"/>
              </a:solidFill>
            </a:ln>
          </c:spPr>
          <c:marker>
            <c:symbol val="none"/>
          </c:marker>
          <c:val>
            <c:numRef>
              <c:f>'Calculations - Single'!$AW$216:$AW$316</c:f>
              <c:numCache>
                <c:formatCode>0.000</c:formatCode>
                <c:ptCount val="101"/>
                <c:pt idx="0">
                  <c:v>4.8333333333333336E-3</c:v>
                </c:pt>
                <c:pt idx="1">
                  <c:v>1.3146551724137933E-2</c:v>
                </c:pt>
                <c:pt idx="2">
                  <c:v>2.6293103448275866E-2</c:v>
                </c:pt>
                <c:pt idx="3">
                  <c:v>3.9439655172413782E-2</c:v>
                </c:pt>
                <c:pt idx="4">
                  <c:v>5.2586206896551732E-2</c:v>
                </c:pt>
                <c:pt idx="5">
                  <c:v>6.5732758620689655E-2</c:v>
                </c:pt>
                <c:pt idx="6">
                  <c:v>7.8879310344827563E-2</c:v>
                </c:pt>
                <c:pt idx="7">
                  <c:v>9.2025862068965542E-2</c:v>
                </c:pt>
                <c:pt idx="8">
                  <c:v>0.10517241379310346</c:v>
                </c:pt>
                <c:pt idx="9">
                  <c:v>0.1183189655172414</c:v>
                </c:pt>
                <c:pt idx="10">
                  <c:v>0.13146551724137931</c:v>
                </c:pt>
                <c:pt idx="11">
                  <c:v>0.14461206896551726</c:v>
                </c:pt>
                <c:pt idx="12">
                  <c:v>0.15775862068965513</c:v>
                </c:pt>
                <c:pt idx="13">
                  <c:v>0.1700336976405952</c:v>
                </c:pt>
                <c:pt idx="14">
                  <c:v>0.17645230705963202</c:v>
                </c:pt>
                <c:pt idx="15">
                  <c:v>0.18264548995253074</c:v>
                </c:pt>
                <c:pt idx="16">
                  <c:v>0.18863545089227882</c:v>
                </c:pt>
                <c:pt idx="17">
                  <c:v>0.1944409721912197</c:v>
                </c:pt>
                <c:pt idx="18">
                  <c:v>0.20007810974716847</c:v>
                </c:pt>
                <c:pt idx="19">
                  <c:v>0.20556071690216815</c:v>
                </c:pt>
                <c:pt idx="20">
                  <c:v>0.21090084558072941</c:v>
                </c:pt>
                <c:pt idx="21">
                  <c:v>0.21610905811649825</c:v>
                </c:pt>
                <c:pt idx="22">
                  <c:v>0.22119467293163583</c:v>
                </c:pt>
                <c:pt idx="23">
                  <c:v>0.22616596045087484</c:v>
                </c:pt>
                <c:pt idx="24">
                  <c:v>0.23103030104295838</c:v>
                </c:pt>
                <c:pt idx="25">
                  <c:v>0.23579431361534847</c:v>
                </c:pt>
                <c:pt idx="26">
                  <c:v>0.24046396126377578</c:v>
                </c:pt>
                <c:pt idx="27">
                  <c:v>0.24504463879056812</c:v>
                </c:pt>
                <c:pt idx="28">
                  <c:v>0.24954124575575343</c:v>
                </c:pt>
                <c:pt idx="29">
                  <c:v>0.25395824788076221</c:v>
                </c:pt>
                <c:pt idx="30">
                  <c:v>0.25829972899714781</c:v>
                </c:pt>
                <c:pt idx="31">
                  <c:v>0.26256943526110071</c:v>
                </c:pt>
                <c:pt idx="32">
                  <c:v>0.26677081299622463</c:v>
                </c:pt>
                <c:pt idx="33">
                  <c:v>0.27090704125216092</c:v>
                </c:pt>
                <c:pt idx="34">
                  <c:v>0.27498105995383271</c:v>
                </c:pt>
                <c:pt idx="35">
                  <c:v>0.27899559434992277</c:v>
                </c:pt>
                <c:pt idx="36">
                  <c:v>0.28295317633841827</c:v>
                </c:pt>
                <c:pt idx="37">
                  <c:v>0.28685616314336587</c:v>
                </c:pt>
                <c:pt idx="38">
                  <c:v>0.29070675373418253</c:v>
                </c:pt>
                <c:pt idx="39">
                  <c:v>0.29450700331231511</c:v>
                </c:pt>
                <c:pt idx="40">
                  <c:v>0.29825883613622139</c:v>
                </c:pt>
                <c:pt idx="41">
                  <c:v>0.30196405691185607</c:v>
                </c:pt>
                <c:pt idx="42">
                  <c:v>0.30562436094002721</c:v>
                </c:pt>
                <c:pt idx="43">
                  <c:v>0.30924134318252688</c:v>
                </c:pt>
                <c:pt idx="44">
                  <c:v>0.31281650638460035</c:v>
                </c:pt>
                <c:pt idx="45">
                  <c:v>0.31635126837109417</c:v>
                </c:pt>
                <c:pt idx="46">
                  <c:v>0.3198469686167642</c:v>
                </c:pt>
                <c:pt idx="47">
                  <c:v>0.32330487417709419</c:v>
                </c:pt>
                <c:pt idx="48">
                  <c:v>0.32672618505409085</c:v>
                </c:pt>
                <c:pt idx="49">
                  <c:v>0.33011203906148795</c:v>
                </c:pt>
                <c:pt idx="50">
                  <c:v>0.33346351624528081</c:v>
                </c:pt>
                <c:pt idx="51">
                  <c:v>0.33678164290827967</c:v>
                </c:pt>
                <c:pt idx="52">
                  <c:v>0.3400673952811904</c:v>
                </c:pt>
                <c:pt idx="53">
                  <c:v>0.34332170287744213</c:v>
                </c:pt>
                <c:pt idx="54">
                  <c:v>0.34654545156443761</c:v>
                </c:pt>
                <c:pt idx="55">
                  <c:v>0.34973948637998159</c:v>
                </c:pt>
                <c:pt idx="56">
                  <c:v>0.35290461411926405</c:v>
                </c:pt>
                <c:pt idx="57">
                  <c:v>0.35604160571483778</c:v>
                </c:pt>
                <c:pt idx="58">
                  <c:v>0.35915119842948223</c:v>
                </c:pt>
                <c:pt idx="59">
                  <c:v>0.36223409787962629</c:v>
                </c:pt>
                <c:pt idx="60">
                  <c:v>0.36529097990506149</c:v>
                </c:pt>
                <c:pt idx="61">
                  <c:v>0.36832249229898162</c:v>
                </c:pt>
                <c:pt idx="62">
                  <c:v>0.37132925641089293</c:v>
                </c:pt>
                <c:pt idx="63">
                  <c:v>0.36901826395195575</c:v>
                </c:pt>
                <c:pt idx="64">
                  <c:v>0.36612395837162481</c:v>
                </c:pt>
                <c:pt idx="65">
                  <c:v>0.36329670402699915</c:v>
                </c:pt>
                <c:pt idx="66">
                  <c:v>0.36053395135374749</c:v>
                </c:pt>
                <c:pt idx="67">
                  <c:v>0.35783328447833934</c:v>
                </c:pt>
                <c:pt idx="68">
                  <c:v>0.38853503184713373</c:v>
                </c:pt>
                <c:pt idx="69">
                  <c:v>0.38853503184713373</c:v>
                </c:pt>
                <c:pt idx="70">
                  <c:v>0.38853503184713384</c:v>
                </c:pt>
                <c:pt idx="71">
                  <c:v>0.38853503184713384</c:v>
                </c:pt>
                <c:pt idx="72">
                  <c:v>0.38853503184713373</c:v>
                </c:pt>
                <c:pt idx="73">
                  <c:v>0.38853503184713384</c:v>
                </c:pt>
                <c:pt idx="74">
                  <c:v>0.38853503184713378</c:v>
                </c:pt>
                <c:pt idx="75">
                  <c:v>0.38853503184713378</c:v>
                </c:pt>
                <c:pt idx="76">
                  <c:v>0.38853503184713384</c:v>
                </c:pt>
                <c:pt idx="77">
                  <c:v>0.38853503184713378</c:v>
                </c:pt>
                <c:pt idx="78">
                  <c:v>0.38853503184713373</c:v>
                </c:pt>
                <c:pt idx="79">
                  <c:v>0.38853503184713384</c:v>
                </c:pt>
                <c:pt idx="80">
                  <c:v>0.38853503184713389</c:v>
                </c:pt>
                <c:pt idx="81">
                  <c:v>0.38853503184713373</c:v>
                </c:pt>
                <c:pt idx="82">
                  <c:v>0.38853503184713378</c:v>
                </c:pt>
                <c:pt idx="83">
                  <c:v>0.38853503184713378</c:v>
                </c:pt>
                <c:pt idx="84">
                  <c:v>0.38853503184713373</c:v>
                </c:pt>
                <c:pt idx="85">
                  <c:v>0.38853503184713378</c:v>
                </c:pt>
                <c:pt idx="86">
                  <c:v>0.38853503184713378</c:v>
                </c:pt>
                <c:pt idx="87">
                  <c:v>0.38853503184713373</c:v>
                </c:pt>
                <c:pt idx="88">
                  <c:v>0.38853503184713373</c:v>
                </c:pt>
                <c:pt idx="89">
                  <c:v>0.38853503184713367</c:v>
                </c:pt>
                <c:pt idx="90">
                  <c:v>0.38853503184713378</c:v>
                </c:pt>
                <c:pt idx="91">
                  <c:v>0.38853503184713367</c:v>
                </c:pt>
                <c:pt idx="92">
                  <c:v>0.38853503184713378</c:v>
                </c:pt>
                <c:pt idx="93">
                  <c:v>0.38853503184713378</c:v>
                </c:pt>
                <c:pt idx="94">
                  <c:v>0.38853503184713389</c:v>
                </c:pt>
                <c:pt idx="95">
                  <c:v>0.38853503184713378</c:v>
                </c:pt>
                <c:pt idx="96">
                  <c:v>0.38853503184713373</c:v>
                </c:pt>
                <c:pt idx="97">
                  <c:v>0.38853503184713373</c:v>
                </c:pt>
                <c:pt idx="98">
                  <c:v>0.38853503184713373</c:v>
                </c:pt>
                <c:pt idx="99">
                  <c:v>0.38853503184713373</c:v>
                </c:pt>
                <c:pt idx="100">
                  <c:v>0.38853503184713378</c:v>
                </c:pt>
              </c:numCache>
            </c:numRef>
          </c:val>
          <c:smooth val="0"/>
        </c:ser>
        <c:dLbls>
          <c:showLegendKey val="0"/>
          <c:showVal val="0"/>
          <c:showCatName val="0"/>
          <c:showSerName val="0"/>
          <c:showPercent val="0"/>
          <c:showBubbleSize val="0"/>
        </c:dLbls>
        <c:marker val="1"/>
        <c:smooth val="0"/>
        <c:axId val="129541248"/>
        <c:axId val="129530880"/>
      </c:lineChart>
      <c:catAx>
        <c:axId val="129522688"/>
        <c:scaling>
          <c:orientation val="minMax"/>
        </c:scaling>
        <c:delete val="0"/>
        <c:axPos val="b"/>
        <c:majorGridlines>
          <c:spPr>
            <a:ln w="15875">
              <a:solidFill>
                <a:srgbClr val="969696"/>
              </a:solidFill>
              <a:prstDash val="sysDash"/>
            </a:ln>
          </c:spPr>
        </c:majorGridlines>
        <c:title>
          <c:tx>
            <c:rich>
              <a:bodyPr/>
              <a:lstStyle/>
              <a:p>
                <a:pPr>
                  <a:defRPr sz="1400" b="1" i="0" u="none" strike="noStrike" baseline="0">
                    <a:solidFill>
                      <a:schemeClr val="tx1"/>
                    </a:solidFill>
                    <a:latin typeface="Arial" pitchFamily="34" charset="0"/>
                    <a:ea typeface="Calibri"/>
                    <a:cs typeface="Arial" pitchFamily="34" charset="0"/>
                  </a:defRPr>
                </a:pPr>
                <a:r>
                  <a:rPr lang="en-US" sz="1400">
                    <a:solidFill>
                      <a:schemeClr val="tx1"/>
                    </a:solidFill>
                    <a:latin typeface="Arial" pitchFamily="34" charset="0"/>
                    <a:cs typeface="Arial" pitchFamily="34" charset="0"/>
                  </a:rPr>
                  <a:t>Load Current (mA)</a:t>
                </a:r>
              </a:p>
            </c:rich>
          </c:tx>
          <c:layout>
            <c:manualLayout>
              <c:xMode val="edge"/>
              <c:yMode val="edge"/>
              <c:x val="0.4112305719849535"/>
              <c:y val="0.9410669161053864"/>
            </c:manualLayout>
          </c:layout>
          <c:overlay val="0"/>
          <c:spPr>
            <a:noFill/>
            <a:ln w="25400">
              <a:noFill/>
            </a:ln>
          </c:spPr>
        </c:title>
        <c:numFmt formatCode="0" sourceLinked="1"/>
        <c:majorTickMark val="in"/>
        <c:minorTickMark val="in"/>
        <c:tickLblPos val="nextTo"/>
        <c:spPr>
          <a:ln w="3175">
            <a:solidFill>
              <a:schemeClr val="tx1"/>
            </a:solidFill>
            <a:prstDash val="solid"/>
          </a:ln>
        </c:spPr>
        <c:txPr>
          <a:bodyPr rot="0" vert="horz"/>
          <a:lstStyle/>
          <a:p>
            <a:pPr>
              <a:defRPr sz="1200" b="1" i="0" u="none" strike="noStrike" baseline="0">
                <a:solidFill>
                  <a:schemeClr val="tx1"/>
                </a:solidFill>
                <a:latin typeface="Arial" pitchFamily="34" charset="0"/>
                <a:ea typeface="Calibri"/>
                <a:cs typeface="Arial" pitchFamily="34" charset="0"/>
              </a:defRPr>
            </a:pPr>
            <a:endParaRPr lang="ko-KR"/>
          </a:p>
        </c:txPr>
        <c:crossAx val="129528960"/>
        <c:crosses val="autoZero"/>
        <c:auto val="1"/>
        <c:lblAlgn val="ctr"/>
        <c:lblOffset val="100"/>
        <c:tickLblSkip val="20"/>
        <c:tickMarkSkip val="10"/>
        <c:noMultiLvlLbl val="0"/>
      </c:catAx>
      <c:valAx>
        <c:axId val="129528960"/>
        <c:scaling>
          <c:orientation val="minMax"/>
          <c:max val="400"/>
          <c:min val="0"/>
        </c:scaling>
        <c:delete val="0"/>
        <c:axPos val="l"/>
        <c:majorGridlines>
          <c:spPr>
            <a:ln w="15875">
              <a:solidFill>
                <a:srgbClr val="808080"/>
              </a:solidFill>
              <a:prstDash val="solid"/>
            </a:ln>
          </c:spPr>
        </c:majorGridlines>
        <c:title>
          <c:tx>
            <c:rich>
              <a:bodyPr/>
              <a:lstStyle/>
              <a:p>
                <a:pPr>
                  <a:defRPr sz="1400" b="1" i="0" u="none" strike="noStrike" baseline="0">
                    <a:solidFill>
                      <a:schemeClr val="tx1"/>
                    </a:solidFill>
                    <a:latin typeface="Arial" pitchFamily="34" charset="0"/>
                    <a:ea typeface="Calibri"/>
                    <a:cs typeface="Arial" pitchFamily="34" charset="0"/>
                  </a:defRPr>
                </a:pPr>
                <a:r>
                  <a:rPr lang="en-US" sz="1400" b="1">
                    <a:solidFill>
                      <a:schemeClr val="tx1"/>
                    </a:solidFill>
                    <a:latin typeface="Arial" pitchFamily="34" charset="0"/>
                    <a:cs typeface="Arial" pitchFamily="34" charset="0"/>
                  </a:rPr>
                  <a:t>Switching</a:t>
                </a:r>
                <a:r>
                  <a:rPr lang="en-US" sz="1400" b="1" baseline="0">
                    <a:solidFill>
                      <a:schemeClr val="tx1"/>
                    </a:solidFill>
                    <a:latin typeface="Arial" pitchFamily="34" charset="0"/>
                    <a:cs typeface="Arial" pitchFamily="34" charset="0"/>
                  </a:rPr>
                  <a:t> Frquency (kHz)</a:t>
                </a:r>
                <a:endParaRPr lang="en-US" sz="1400" b="1">
                  <a:solidFill>
                    <a:schemeClr val="tx1"/>
                  </a:solidFill>
                  <a:latin typeface="Arial" pitchFamily="34" charset="0"/>
                  <a:cs typeface="Arial" pitchFamily="34" charset="0"/>
                </a:endParaRPr>
              </a:p>
            </c:rich>
          </c:tx>
          <c:layout>
            <c:manualLayout>
              <c:xMode val="edge"/>
              <c:yMode val="edge"/>
              <c:x val="8.5568268367748525E-3"/>
              <c:y val="0.30050661099568304"/>
            </c:manualLayout>
          </c:layout>
          <c:overlay val="0"/>
          <c:spPr>
            <a:noFill/>
            <a:ln w="25400">
              <a:noFill/>
            </a:ln>
          </c:spPr>
        </c:title>
        <c:numFmt formatCode="#,##0" sourceLinked="0"/>
        <c:majorTickMark val="out"/>
        <c:minorTickMark val="in"/>
        <c:tickLblPos val="nextTo"/>
        <c:spPr>
          <a:ln w="3175">
            <a:solidFill>
              <a:srgbClr val="000000"/>
            </a:solidFill>
            <a:prstDash val="solid"/>
          </a:ln>
        </c:spPr>
        <c:txPr>
          <a:bodyPr rot="0" vert="horz"/>
          <a:lstStyle/>
          <a:p>
            <a:pPr>
              <a:defRPr sz="1200" b="1" i="0" u="none" strike="noStrike" baseline="0">
                <a:solidFill>
                  <a:schemeClr val="tx1"/>
                </a:solidFill>
                <a:latin typeface="Arial" pitchFamily="34" charset="0"/>
                <a:ea typeface="Calibri"/>
                <a:cs typeface="Arial" pitchFamily="34" charset="0"/>
              </a:defRPr>
            </a:pPr>
            <a:endParaRPr lang="ko-KR"/>
          </a:p>
        </c:txPr>
        <c:crossAx val="129522688"/>
        <c:crossesAt val="0"/>
        <c:crossBetween val="between"/>
        <c:majorUnit val="50"/>
        <c:minorUnit val="25"/>
      </c:valAx>
      <c:valAx>
        <c:axId val="129530880"/>
        <c:scaling>
          <c:orientation val="minMax"/>
          <c:min val="0"/>
        </c:scaling>
        <c:delete val="0"/>
        <c:axPos val="r"/>
        <c:title>
          <c:tx>
            <c:rich>
              <a:bodyPr rot="-5400000" vert="horz"/>
              <a:lstStyle/>
              <a:p>
                <a:pPr>
                  <a:defRPr sz="1400" b="1"/>
                </a:pPr>
                <a:r>
                  <a:rPr lang="en-US" sz="1400" b="1"/>
                  <a:t>Duty Cycle</a:t>
                </a:r>
              </a:p>
            </c:rich>
          </c:tx>
          <c:layout>
            <c:manualLayout>
              <c:xMode val="edge"/>
              <c:yMode val="edge"/>
              <c:x val="0.96323100741439582"/>
              <c:y val="0.41073169332818471"/>
            </c:manualLayout>
          </c:layout>
          <c:overlay val="0"/>
        </c:title>
        <c:numFmt formatCode="General" sourceLinked="0"/>
        <c:majorTickMark val="in"/>
        <c:minorTickMark val="in"/>
        <c:tickLblPos val="nextTo"/>
        <c:txPr>
          <a:bodyPr/>
          <a:lstStyle/>
          <a:p>
            <a:pPr>
              <a:defRPr sz="1200" b="1"/>
            </a:pPr>
            <a:endParaRPr lang="ko-KR"/>
          </a:p>
        </c:txPr>
        <c:crossAx val="129541248"/>
        <c:crosses val="max"/>
        <c:crossBetween val="between"/>
        <c:majorUnit val="0.1"/>
        <c:minorUnit val="2.0000000000000004E-2"/>
      </c:valAx>
      <c:catAx>
        <c:axId val="129541248"/>
        <c:scaling>
          <c:orientation val="minMax"/>
        </c:scaling>
        <c:delete val="1"/>
        <c:axPos val="b"/>
        <c:majorTickMark val="out"/>
        <c:minorTickMark val="none"/>
        <c:tickLblPos val="nextTo"/>
        <c:crossAx val="129530880"/>
        <c:crosses val="autoZero"/>
        <c:auto val="1"/>
        <c:lblAlgn val="ctr"/>
        <c:lblOffset val="100"/>
        <c:noMultiLvlLbl val="0"/>
      </c:catAx>
      <c:spPr>
        <a:solidFill>
          <a:srgbClr val="FFFFFF"/>
        </a:solidFill>
        <a:ln w="25400">
          <a:noFill/>
        </a:ln>
      </c:spPr>
    </c:plotArea>
    <c:legend>
      <c:legendPos val="t"/>
      <c:legendEntry>
        <c:idx val="3"/>
        <c:delete val="1"/>
      </c:legendEntry>
      <c:legendEntry>
        <c:idx val="4"/>
        <c:delete val="1"/>
      </c:legendEntry>
      <c:legendEntry>
        <c:idx val="5"/>
        <c:delete val="1"/>
      </c:legendEntry>
      <c:legendEntry>
        <c:idx val="6"/>
        <c:delete val="1"/>
      </c:legendEntry>
      <c:legendEntry>
        <c:idx val="7"/>
        <c:delete val="1"/>
      </c:legendEntry>
      <c:legendEntry>
        <c:idx val="8"/>
        <c:delete val="1"/>
      </c:legendEntry>
      <c:layout>
        <c:manualLayout>
          <c:xMode val="edge"/>
          <c:yMode val="edge"/>
          <c:x val="0.21364188347424315"/>
          <c:y val="3.4655227110648466E-2"/>
          <c:w val="0.56362386153343735"/>
          <c:h val="5.4335766847817754E-2"/>
        </c:manualLayout>
      </c:layout>
      <c:overlay val="0"/>
      <c:spPr>
        <a:solidFill>
          <a:srgbClr val="FFFFFF"/>
        </a:solidFill>
        <a:ln w="25400">
          <a:noFill/>
        </a:ln>
      </c:spPr>
      <c:txPr>
        <a:bodyPr/>
        <a:lstStyle/>
        <a:p>
          <a:pPr>
            <a:defRPr sz="1400" b="1" i="0" u="none" strike="noStrike" baseline="0">
              <a:solidFill>
                <a:srgbClr val="000000"/>
              </a:solidFill>
              <a:latin typeface="Arial" pitchFamily="34" charset="0"/>
              <a:ea typeface="Calibri"/>
              <a:cs typeface="Arial" pitchFamily="34" charset="0"/>
            </a:defRPr>
          </a:pPr>
          <a:endParaRPr lang="ko-KR"/>
        </a:p>
      </c:txPr>
    </c:legend>
    <c:plotVisOnly val="1"/>
    <c:dispBlanksAs val="gap"/>
    <c:showDLblsOverMax val="0"/>
  </c:chart>
  <c:spPr>
    <a:solidFill>
      <a:srgbClr val="FFFFFF"/>
    </a:solidFill>
    <a:ln w="9525">
      <a:noFill/>
    </a:ln>
  </c:spPr>
  <c:txPr>
    <a:bodyPr/>
    <a:lstStyle/>
    <a:p>
      <a:pPr>
        <a:defRPr sz="850" b="0" i="0" u="none" strike="noStrike" baseline="0">
          <a:solidFill>
            <a:srgbClr val="000000"/>
          </a:solidFill>
          <a:latin typeface="Arial"/>
          <a:ea typeface="Arial"/>
          <a:cs typeface="Arial"/>
        </a:defRPr>
      </a:pPr>
      <a:endParaRPr lang="ko-KR"/>
    </a:p>
  </c:txPr>
  <c:printSettings>
    <c:headerFooter alignWithMargins="0"/>
    <c:pageMargins b="1" l="0.750000000000006" r="0.750000000000006" t="1" header="0.5" footer="0.5"/>
    <c:pageSetup paperSize="5"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ko-K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393009796772281"/>
          <c:y val="9.6043598935517463E-2"/>
          <c:w val="0.79387547420256122"/>
          <c:h val="0.75083975467433728"/>
        </c:manualLayout>
      </c:layout>
      <c:lineChart>
        <c:grouping val="standard"/>
        <c:varyColors val="0"/>
        <c:ser>
          <c:idx val="9"/>
          <c:order val="6"/>
          <c:tx>
            <c:v>VIN-min</c:v>
          </c:tx>
          <c:spPr>
            <a:ln>
              <a:solidFill>
                <a:srgbClr val="00B050"/>
              </a:solidFill>
              <a:prstDash val="sysDash"/>
            </a:ln>
          </c:spPr>
          <c:marker>
            <c:symbol val="none"/>
          </c:marker>
          <c:cat>
            <c:numRef>
              <c:f>'Calculations - Dual'!$BZ$5:$BZ$105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11.000000000000002</c:v>
                </c:pt>
                <c:pt idx="12">
                  <c:v>12</c:v>
                </c:pt>
                <c:pt idx="13">
                  <c:v>13</c:v>
                </c:pt>
                <c:pt idx="14">
                  <c:v>14.000000000000002</c:v>
                </c:pt>
                <c:pt idx="15">
                  <c:v>15</c:v>
                </c:pt>
                <c:pt idx="16">
                  <c:v>16</c:v>
                </c:pt>
                <c:pt idx="17">
                  <c:v>17</c:v>
                </c:pt>
                <c:pt idx="18">
                  <c:v>18</c:v>
                </c:pt>
                <c:pt idx="19">
                  <c:v>19</c:v>
                </c:pt>
                <c:pt idx="20">
                  <c:v>20</c:v>
                </c:pt>
                <c:pt idx="21">
                  <c:v>21.000000000000004</c:v>
                </c:pt>
                <c:pt idx="22">
                  <c:v>22.000000000000004</c:v>
                </c:pt>
                <c:pt idx="23">
                  <c:v>23.000000000000004</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42.000000000000007</c:v>
                </c:pt>
                <c:pt idx="43">
                  <c:v>43.000000000000007</c:v>
                </c:pt>
                <c:pt idx="44">
                  <c:v>44.000000000000007</c:v>
                </c:pt>
                <c:pt idx="45">
                  <c:v>45.000000000000007</c:v>
                </c:pt>
                <c:pt idx="46">
                  <c:v>46.000000000000007</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84.000000000000014</c:v>
                </c:pt>
                <c:pt idx="85">
                  <c:v>85.000000000000014</c:v>
                </c:pt>
                <c:pt idx="86">
                  <c:v>86.000000000000014</c:v>
                </c:pt>
                <c:pt idx="87">
                  <c:v>87.000000000000014</c:v>
                </c:pt>
                <c:pt idx="88">
                  <c:v>88.000000000000014</c:v>
                </c:pt>
                <c:pt idx="89">
                  <c:v>89.000000000000014</c:v>
                </c:pt>
                <c:pt idx="90">
                  <c:v>90.000000000000014</c:v>
                </c:pt>
                <c:pt idx="91">
                  <c:v>91.000000000000014</c:v>
                </c:pt>
                <c:pt idx="92">
                  <c:v>92.000000000000014</c:v>
                </c:pt>
                <c:pt idx="93">
                  <c:v>93.000000000000014</c:v>
                </c:pt>
                <c:pt idx="94">
                  <c:v>94</c:v>
                </c:pt>
                <c:pt idx="95">
                  <c:v>95</c:v>
                </c:pt>
                <c:pt idx="96">
                  <c:v>96</c:v>
                </c:pt>
                <c:pt idx="97">
                  <c:v>97</c:v>
                </c:pt>
                <c:pt idx="98">
                  <c:v>98</c:v>
                </c:pt>
                <c:pt idx="99">
                  <c:v>99</c:v>
                </c:pt>
                <c:pt idx="100">
                  <c:v>100</c:v>
                </c:pt>
              </c:numCache>
            </c:numRef>
          </c:cat>
          <c:val>
            <c:numRef>
              <c:f>'Calculations - Dual'!$AM$110:$AM$210</c:f>
              <c:numCache>
                <c:formatCode>0.0</c:formatCode>
                <c:ptCount val="101"/>
                <c:pt idx="0">
                  <c:v>10</c:v>
                </c:pt>
                <c:pt idx="1">
                  <c:v>27.199762187871581</c:v>
                </c:pt>
                <c:pt idx="2">
                  <c:v>54.399524375743162</c:v>
                </c:pt>
                <c:pt idx="3">
                  <c:v>81.599286563614726</c:v>
                </c:pt>
                <c:pt idx="4">
                  <c:v>108.79904875148632</c:v>
                </c:pt>
                <c:pt idx="5">
                  <c:v>135.9988109393579</c:v>
                </c:pt>
                <c:pt idx="6">
                  <c:v>163.19857312722945</c:v>
                </c:pt>
                <c:pt idx="7">
                  <c:v>190.39833531510109</c:v>
                </c:pt>
                <c:pt idx="8">
                  <c:v>217.59809750297265</c:v>
                </c:pt>
                <c:pt idx="9">
                  <c:v>244.79785969084423</c:v>
                </c:pt>
                <c:pt idx="10">
                  <c:v>271.99762187871579</c:v>
                </c:pt>
                <c:pt idx="11">
                  <c:v>299.1973840665874</c:v>
                </c:pt>
                <c:pt idx="12">
                  <c:v>326.3971462544589</c:v>
                </c:pt>
                <c:pt idx="13">
                  <c:v>288.69270923277054</c:v>
                </c:pt>
                <c:pt idx="14">
                  <c:v>268.07180143042973</c:v>
                </c:pt>
                <c:pt idx="15">
                  <c:v>250.20034800173451</c:v>
                </c:pt>
                <c:pt idx="16">
                  <c:v>234.56282625162609</c:v>
                </c:pt>
                <c:pt idx="17">
                  <c:v>220.7650129427069</c:v>
                </c:pt>
                <c:pt idx="18">
                  <c:v>208.50029000144542</c:v>
                </c:pt>
                <c:pt idx="19">
                  <c:v>197.52659052768516</c:v>
                </c:pt>
                <c:pt idx="20">
                  <c:v>187.65026100130086</c:v>
                </c:pt>
                <c:pt idx="21">
                  <c:v>178.71453428695321</c:v>
                </c:pt>
                <c:pt idx="22">
                  <c:v>170.59114636481894</c:v>
                </c:pt>
                <c:pt idx="23">
                  <c:v>163.17414000113115</c:v>
                </c:pt>
                <c:pt idx="24">
                  <c:v>156.37521750108408</c:v>
                </c:pt>
                <c:pt idx="25">
                  <c:v>150.12020880104066</c:v>
                </c:pt>
                <c:pt idx="26">
                  <c:v>144.34635461638527</c:v>
                </c:pt>
                <c:pt idx="27">
                  <c:v>139.00019333429694</c:v>
                </c:pt>
                <c:pt idx="28">
                  <c:v>134.03590071521486</c:v>
                </c:pt>
                <c:pt idx="29">
                  <c:v>129.41397310434542</c:v>
                </c:pt>
                <c:pt idx="30">
                  <c:v>125.10017400086726</c:v>
                </c:pt>
                <c:pt idx="31">
                  <c:v>121.06468451696827</c:v>
                </c:pt>
                <c:pt idx="32">
                  <c:v>117.28141312581305</c:v>
                </c:pt>
                <c:pt idx="33">
                  <c:v>113.7274309098793</c:v>
                </c:pt>
                <c:pt idx="34">
                  <c:v>110.38250647135345</c:v>
                </c:pt>
                <c:pt idx="35">
                  <c:v>107.22872057217191</c:v>
                </c:pt>
                <c:pt idx="36">
                  <c:v>104.25014500072271</c:v>
                </c:pt>
                <c:pt idx="37">
                  <c:v>101.4325735142167</c:v>
                </c:pt>
                <c:pt idx="38">
                  <c:v>98.763295263842579</c:v>
                </c:pt>
                <c:pt idx="39">
                  <c:v>96.230903077590185</c:v>
                </c:pt>
                <c:pt idx="40">
                  <c:v>93.825130500650431</c:v>
                </c:pt>
                <c:pt idx="41">
                  <c:v>91.53671268356139</c:v>
                </c:pt>
                <c:pt idx="42">
                  <c:v>89.357267143476605</c:v>
                </c:pt>
                <c:pt idx="43">
                  <c:v>87.279191163395737</c:v>
                </c:pt>
                <c:pt idx="44">
                  <c:v>85.29557318240947</c:v>
                </c:pt>
                <c:pt idx="45">
                  <c:v>83.400116000578166</c:v>
                </c:pt>
                <c:pt idx="46">
                  <c:v>82.366063560073954</c:v>
                </c:pt>
                <c:pt idx="47">
                  <c:v>81.810907289115875</c:v>
                </c:pt>
                <c:pt idx="48">
                  <c:v>81.263577336392643</c:v>
                </c:pt>
                <c:pt idx="49">
                  <c:v>80.723909362949655</c:v>
                </c:pt>
                <c:pt idx="50">
                  <c:v>80.191743598957501</c:v>
                </c:pt>
                <c:pt idx="51">
                  <c:v>79.666924686013544</c:v>
                </c:pt>
                <c:pt idx="52">
                  <c:v>79.149301525929971</c:v>
                </c:pt>
                <c:pt idx="53">
                  <c:v>78.638727135699412</c:v>
                </c:pt>
                <c:pt idx="54">
                  <c:v>78.135058508345494</c:v>
                </c:pt>
                <c:pt idx="55">
                  <c:v>77.638156479381607</c:v>
                </c:pt>
                <c:pt idx="56">
                  <c:v>77.147885598616028</c:v>
                </c:pt>
                <c:pt idx="57">
                  <c:v>76.66411400705536</c:v>
                </c:pt>
                <c:pt idx="58">
                  <c:v>76.186713318671025</c:v>
                </c:pt>
                <c:pt idx="59">
                  <c:v>75.715558506806616</c:v>
                </c:pt>
                <c:pt idx="60">
                  <c:v>75.250527795014506</c:v>
                </c:pt>
                <c:pt idx="61">
                  <c:v>74.791502552121784</c:v>
                </c:pt>
                <c:pt idx="62">
                  <c:v>74.338367191335493</c:v>
                </c:pt>
                <c:pt idx="63">
                  <c:v>73.891009073206902</c:v>
                </c:pt>
                <c:pt idx="64">
                  <c:v>73.449318412283816</c:v>
                </c:pt>
                <c:pt idx="65">
                  <c:v>73.013188187288293</c:v>
                </c:pt>
                <c:pt idx="66">
                  <c:v>72.58251405466541</c:v>
                </c:pt>
                <c:pt idx="67">
                  <c:v>72.157194265356509</c:v>
                </c:pt>
                <c:pt idx="68">
                  <c:v>71.737129584657453</c:v>
                </c:pt>
                <c:pt idx="69">
                  <c:v>71.322223215029055</c:v>
                </c:pt>
                <c:pt idx="70">
                  <c:v>70.91238072173401</c:v>
                </c:pt>
                <c:pt idx="71">
                  <c:v>70.50750996117992</c:v>
                </c:pt>
                <c:pt idx="72">
                  <c:v>70.107521011854502</c:v>
                </c:pt>
                <c:pt idx="73">
                  <c:v>69.71232610774392</c:v>
                </c:pt>
                <c:pt idx="74">
                  <c:v>69.321839574131175</c:v>
                </c:pt>
                <c:pt idx="75">
                  <c:v>68.935977765675332</c:v>
                </c:pt>
                <c:pt idx="76">
                  <c:v>68.554659006678023</c:v>
                </c:pt>
                <c:pt idx="77">
                  <c:v>68.177803533447417</c:v>
                </c:pt>
                <c:pt idx="78">
                  <c:v>67.80533343867431</c:v>
                </c:pt>
                <c:pt idx="79">
                  <c:v>67.437172617738838</c:v>
                </c:pt>
                <c:pt idx="80">
                  <c:v>67.073246716869974</c:v>
                </c:pt>
                <c:pt idx="81">
                  <c:v>66.713483083083887</c:v>
                </c:pt>
                <c:pt idx="82">
                  <c:v>66.357810715830198</c:v>
                </c:pt>
                <c:pt idx="83">
                  <c:v>66.006160220278389</c:v>
                </c:pt>
                <c:pt idx="84">
                  <c:v>65.65846376218019</c:v>
                </c:pt>
                <c:pt idx="85">
                  <c:v>65.314655024246022</c:v>
                </c:pt>
                <c:pt idx="86">
                  <c:v>64.974669163976486</c:v>
                </c:pt>
                <c:pt idx="87">
                  <c:v>64.638442772892915</c:v>
                </c:pt>
                <c:pt idx="88">
                  <c:v>64.305913837112797</c:v>
                </c:pt>
                <c:pt idx="89">
                  <c:v>63.977021699218746</c:v>
                </c:pt>
                <c:pt idx="90">
                  <c:v>63.65170702137182</c:v>
                </c:pt>
                <c:pt idx="91">
                  <c:v>63.329911749621978</c:v>
                </c:pt>
                <c:pt idx="92">
                  <c:v>63.011579079370662</c:v>
                </c:pt>
                <c:pt idx="93">
                  <c:v>62.69665342194218</c:v>
                </c:pt>
                <c:pt idx="94">
                  <c:v>62.385080372222916</c:v>
                </c:pt>
                <c:pt idx="95">
                  <c:v>62.076806677328321</c:v>
                </c:pt>
                <c:pt idx="96">
                  <c:v>61.771780206260367</c:v>
                </c:pt>
                <c:pt idx="97">
                  <c:v>61.469949920518438</c:v>
                </c:pt>
                <c:pt idx="98">
                  <c:v>61.171265845629641</c:v>
                </c:pt>
                <c:pt idx="99">
                  <c:v>60.875679043564467</c:v>
                </c:pt>
                <c:pt idx="100">
                  <c:v>60.583141586006448</c:v>
                </c:pt>
              </c:numCache>
            </c:numRef>
          </c:val>
          <c:smooth val="0"/>
        </c:ser>
        <c:ser>
          <c:idx val="10"/>
          <c:order val="7"/>
          <c:tx>
            <c:v>VIN-nom</c:v>
          </c:tx>
          <c:spPr>
            <a:ln w="28575">
              <a:solidFill>
                <a:srgbClr val="0000FF"/>
              </a:solidFill>
              <a:prstDash val="lgDash"/>
            </a:ln>
          </c:spPr>
          <c:marker>
            <c:symbol val="none"/>
          </c:marker>
          <c:cat>
            <c:numRef>
              <c:f>'Calculations - Dual'!$BZ$5:$BZ$105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11.000000000000002</c:v>
                </c:pt>
                <c:pt idx="12">
                  <c:v>12</c:v>
                </c:pt>
                <c:pt idx="13">
                  <c:v>13</c:v>
                </c:pt>
                <c:pt idx="14">
                  <c:v>14.000000000000002</c:v>
                </c:pt>
                <c:pt idx="15">
                  <c:v>15</c:v>
                </c:pt>
                <c:pt idx="16">
                  <c:v>16</c:v>
                </c:pt>
                <c:pt idx="17">
                  <c:v>17</c:v>
                </c:pt>
                <c:pt idx="18">
                  <c:v>18</c:v>
                </c:pt>
                <c:pt idx="19">
                  <c:v>19</c:v>
                </c:pt>
                <c:pt idx="20">
                  <c:v>20</c:v>
                </c:pt>
                <c:pt idx="21">
                  <c:v>21.000000000000004</c:v>
                </c:pt>
                <c:pt idx="22">
                  <c:v>22.000000000000004</c:v>
                </c:pt>
                <c:pt idx="23">
                  <c:v>23.000000000000004</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42.000000000000007</c:v>
                </c:pt>
                <c:pt idx="43">
                  <c:v>43.000000000000007</c:v>
                </c:pt>
                <c:pt idx="44">
                  <c:v>44.000000000000007</c:v>
                </c:pt>
                <c:pt idx="45">
                  <c:v>45.000000000000007</c:v>
                </c:pt>
                <c:pt idx="46">
                  <c:v>46.000000000000007</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84.000000000000014</c:v>
                </c:pt>
                <c:pt idx="85">
                  <c:v>85.000000000000014</c:v>
                </c:pt>
                <c:pt idx="86">
                  <c:v>86.000000000000014</c:v>
                </c:pt>
                <c:pt idx="87">
                  <c:v>87.000000000000014</c:v>
                </c:pt>
                <c:pt idx="88">
                  <c:v>88.000000000000014</c:v>
                </c:pt>
                <c:pt idx="89">
                  <c:v>89.000000000000014</c:v>
                </c:pt>
                <c:pt idx="90">
                  <c:v>90.000000000000014</c:v>
                </c:pt>
                <c:pt idx="91">
                  <c:v>91.000000000000014</c:v>
                </c:pt>
                <c:pt idx="92">
                  <c:v>92.000000000000014</c:v>
                </c:pt>
                <c:pt idx="93">
                  <c:v>93.000000000000014</c:v>
                </c:pt>
                <c:pt idx="94">
                  <c:v>94</c:v>
                </c:pt>
                <c:pt idx="95">
                  <c:v>95</c:v>
                </c:pt>
                <c:pt idx="96">
                  <c:v>96</c:v>
                </c:pt>
                <c:pt idx="97">
                  <c:v>97</c:v>
                </c:pt>
                <c:pt idx="98">
                  <c:v>98</c:v>
                </c:pt>
                <c:pt idx="99">
                  <c:v>99</c:v>
                </c:pt>
                <c:pt idx="100">
                  <c:v>100</c:v>
                </c:pt>
              </c:numCache>
            </c:numRef>
          </c:cat>
          <c:val>
            <c:numRef>
              <c:f>'Calculations - Dual'!$AM$5:$AM$105</c:f>
              <c:numCache>
                <c:formatCode>0.0</c:formatCode>
                <c:ptCount val="101"/>
                <c:pt idx="0">
                  <c:v>10</c:v>
                </c:pt>
                <c:pt idx="1">
                  <c:v>27.199762187871581</c:v>
                </c:pt>
                <c:pt idx="2">
                  <c:v>54.399524375743162</c:v>
                </c:pt>
                <c:pt idx="3">
                  <c:v>81.599286563614726</c:v>
                </c:pt>
                <c:pt idx="4">
                  <c:v>108.79904875148632</c:v>
                </c:pt>
                <c:pt idx="5">
                  <c:v>135.9988109393579</c:v>
                </c:pt>
                <c:pt idx="6">
                  <c:v>163.19857312722945</c:v>
                </c:pt>
                <c:pt idx="7">
                  <c:v>190.39833531510109</c:v>
                </c:pt>
                <c:pt idx="8">
                  <c:v>217.59809750297265</c:v>
                </c:pt>
                <c:pt idx="9">
                  <c:v>244.79785969084423</c:v>
                </c:pt>
                <c:pt idx="10">
                  <c:v>271.99762187871579</c:v>
                </c:pt>
                <c:pt idx="11">
                  <c:v>299.1973840665874</c:v>
                </c:pt>
                <c:pt idx="12">
                  <c:v>326.3971462544589</c:v>
                </c:pt>
                <c:pt idx="13">
                  <c:v>350</c:v>
                </c:pt>
                <c:pt idx="14">
                  <c:v>350</c:v>
                </c:pt>
                <c:pt idx="15">
                  <c:v>350</c:v>
                </c:pt>
                <c:pt idx="16">
                  <c:v>350</c:v>
                </c:pt>
                <c:pt idx="17">
                  <c:v>350</c:v>
                </c:pt>
                <c:pt idx="18">
                  <c:v>350</c:v>
                </c:pt>
                <c:pt idx="19">
                  <c:v>350</c:v>
                </c:pt>
                <c:pt idx="20">
                  <c:v>350</c:v>
                </c:pt>
                <c:pt idx="21">
                  <c:v>350</c:v>
                </c:pt>
                <c:pt idx="22">
                  <c:v>334.23345408502564</c:v>
                </c:pt>
                <c:pt idx="23">
                  <c:v>319.701564776981</c:v>
                </c:pt>
                <c:pt idx="24">
                  <c:v>306.38066624460686</c:v>
                </c:pt>
                <c:pt idx="25">
                  <c:v>294.12543959482258</c:v>
                </c:pt>
                <c:pt idx="26">
                  <c:v>282.81292268732943</c:v>
                </c:pt>
                <c:pt idx="27">
                  <c:v>272.33836999520605</c:v>
                </c:pt>
                <c:pt idx="28">
                  <c:v>262.61199963823447</c:v>
                </c:pt>
                <c:pt idx="29">
                  <c:v>253.55641344381257</c:v>
                </c:pt>
                <c:pt idx="30">
                  <c:v>245.10453299568553</c:v>
                </c:pt>
                <c:pt idx="31">
                  <c:v>237.1979351571149</c:v>
                </c:pt>
                <c:pt idx="32">
                  <c:v>229.7854996834551</c:v>
                </c:pt>
                <c:pt idx="33">
                  <c:v>222.82230272335045</c:v>
                </c:pt>
                <c:pt idx="34">
                  <c:v>216.26870558442837</c:v>
                </c:pt>
                <c:pt idx="35">
                  <c:v>210.08959971058755</c:v>
                </c:pt>
                <c:pt idx="36">
                  <c:v>204.25377749640455</c:v>
                </c:pt>
                <c:pt idx="37">
                  <c:v>198.73340513163691</c:v>
                </c:pt>
                <c:pt idx="38">
                  <c:v>193.50357868080437</c:v>
                </c:pt>
                <c:pt idx="39">
                  <c:v>188.54194845821957</c:v>
                </c:pt>
                <c:pt idx="40">
                  <c:v>183.82839974676412</c:v>
                </c:pt>
                <c:pt idx="41">
                  <c:v>179.34478024074548</c:v>
                </c:pt>
                <c:pt idx="42">
                  <c:v>175.07466642548962</c:v>
                </c:pt>
                <c:pt idx="43">
                  <c:v>171.00316255512939</c:v>
                </c:pt>
                <c:pt idx="44">
                  <c:v>167.11672704251282</c:v>
                </c:pt>
                <c:pt idx="45">
                  <c:v>163.4030219971236</c:v>
                </c:pt>
                <c:pt idx="46">
                  <c:v>159.8507823884905</c:v>
                </c:pt>
                <c:pt idx="47">
                  <c:v>156.44970191213969</c:v>
                </c:pt>
                <c:pt idx="48">
                  <c:v>153.19033312230343</c:v>
                </c:pt>
                <c:pt idx="49">
                  <c:v>150.06399979327679</c:v>
                </c:pt>
                <c:pt idx="50">
                  <c:v>147.06271979741129</c:v>
                </c:pt>
                <c:pt idx="51">
                  <c:v>144.17913705628558</c:v>
                </c:pt>
                <c:pt idx="52">
                  <c:v>141.40646134366472</c:v>
                </c:pt>
                <c:pt idx="53">
                  <c:v>138.73841490321817</c:v>
                </c:pt>
                <c:pt idx="54">
                  <c:v>136.16918499760303</c:v>
                </c:pt>
                <c:pt idx="55">
                  <c:v>133.69338163401028</c:v>
                </c:pt>
                <c:pt idx="56">
                  <c:v>131.30599981911723</c:v>
                </c:pt>
                <c:pt idx="57">
                  <c:v>129.00238578720288</c:v>
                </c:pt>
                <c:pt idx="58">
                  <c:v>126.77820672190629</c:v>
                </c:pt>
                <c:pt idx="59">
                  <c:v>124.62942355712821</c:v>
                </c:pt>
                <c:pt idx="60">
                  <c:v>122.55226649784277</c:v>
                </c:pt>
                <c:pt idx="61">
                  <c:v>120.5432129486978</c:v>
                </c:pt>
                <c:pt idx="62">
                  <c:v>118.59896757855745</c:v>
                </c:pt>
                <c:pt idx="63">
                  <c:v>116.71644428365977</c:v>
                </c:pt>
                <c:pt idx="64">
                  <c:v>115.39752144821379</c:v>
                </c:pt>
                <c:pt idx="65">
                  <c:v>114.61878047373666</c:v>
                </c:pt>
                <c:pt idx="66">
                  <c:v>113.85087320122068</c:v>
                </c:pt>
                <c:pt idx="67">
                  <c:v>113.09357511763859</c:v>
                </c:pt>
                <c:pt idx="68">
                  <c:v>112.34666787101989</c:v>
                </c:pt>
                <c:pt idx="69">
                  <c:v>111.60993906055232</c:v>
                </c:pt>
                <c:pt idx="70">
                  <c:v>110.88318203520618</c:v>
                </c:pt>
                <c:pt idx="71">
                  <c:v>110.16619570048096</c:v>
                </c:pt>
                <c:pt idx="72">
                  <c:v>109.45878433289404</c:v>
                </c:pt>
                <c:pt idx="73">
                  <c:v>108.76075740185246</c:v>
                </c:pt>
                <c:pt idx="74">
                  <c:v>108.07192939856716</c:v>
                </c:pt>
                <c:pt idx="75">
                  <c:v>107.39211967168676</c:v>
                </c:pt>
                <c:pt idx="76">
                  <c:v>106.72115226934496</c:v>
                </c:pt>
                <c:pt idx="77">
                  <c:v>106.05885578733198</c:v>
                </c:pt>
                <c:pt idx="78">
                  <c:v>105.40506322311421</c:v>
                </c:pt>
                <c:pt idx="79">
                  <c:v>104.75961183544109</c:v>
                </c:pt>
                <c:pt idx="80">
                  <c:v>104.12234300929168</c:v>
                </c:pt>
                <c:pt idx="81">
                  <c:v>103.49310212592493</c:v>
                </c:pt>
                <c:pt idx="82">
                  <c:v>102.87173843781054</c:v>
                </c:pt>
                <c:pt idx="83">
                  <c:v>102.25810494822741</c:v>
                </c:pt>
                <c:pt idx="84">
                  <c:v>101.65205829532812</c:v>
                </c:pt>
                <c:pt idx="85">
                  <c:v>101.05345864047723</c:v>
                </c:pt>
                <c:pt idx="86">
                  <c:v>100.46216956068054</c:v>
                </c:pt>
                <c:pt idx="87">
                  <c:v>99.878057944931754</c:v>
                </c:pt>
                <c:pt idx="88">
                  <c:v>99.300993894310935</c:v>
                </c:pt>
                <c:pt idx="89">
                  <c:v>98.730850625677434</c:v>
                </c:pt>
                <c:pt idx="90">
                  <c:v>98.167504378807223</c:v>
                </c:pt>
                <c:pt idx="91">
                  <c:v>97.610834326831565</c:v>
                </c:pt>
                <c:pt idx="92">
                  <c:v>97.060722489841453</c:v>
                </c:pt>
                <c:pt idx="93">
                  <c:v>96.517053651527306</c:v>
                </c:pt>
                <c:pt idx="94">
                  <c:v>95.979715278730851</c:v>
                </c:pt>
                <c:pt idx="95">
                  <c:v>95.448597443790888</c:v>
                </c:pt>
                <c:pt idx="96">
                  <c:v>94.923592749570389</c:v>
                </c:pt>
                <c:pt idx="97">
                  <c:v>94.404596257057591</c:v>
                </c:pt>
                <c:pt idx="98">
                  <c:v>93.891505415438729</c:v>
                </c:pt>
                <c:pt idx="99">
                  <c:v>93.38421999454404</c:v>
                </c:pt>
                <c:pt idx="100">
                  <c:v>92.882642019574249</c:v>
                </c:pt>
              </c:numCache>
            </c:numRef>
          </c:val>
          <c:smooth val="0"/>
        </c:ser>
        <c:ser>
          <c:idx val="11"/>
          <c:order val="8"/>
          <c:tx>
            <c:v>VIN-max</c:v>
          </c:tx>
          <c:spPr>
            <a:ln>
              <a:solidFill>
                <a:srgbClr val="FF0000"/>
              </a:solidFill>
              <a:prstDash val="solid"/>
            </a:ln>
          </c:spPr>
          <c:marker>
            <c:symbol val="none"/>
          </c:marker>
          <c:cat>
            <c:numRef>
              <c:f>'Calculations - Dual'!$BZ$5:$BZ$105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11.000000000000002</c:v>
                </c:pt>
                <c:pt idx="12">
                  <c:v>12</c:v>
                </c:pt>
                <c:pt idx="13">
                  <c:v>13</c:v>
                </c:pt>
                <c:pt idx="14">
                  <c:v>14.000000000000002</c:v>
                </c:pt>
                <c:pt idx="15">
                  <c:v>15</c:v>
                </c:pt>
                <c:pt idx="16">
                  <c:v>16</c:v>
                </c:pt>
                <c:pt idx="17">
                  <c:v>17</c:v>
                </c:pt>
                <c:pt idx="18">
                  <c:v>18</c:v>
                </c:pt>
                <c:pt idx="19">
                  <c:v>19</c:v>
                </c:pt>
                <c:pt idx="20">
                  <c:v>20</c:v>
                </c:pt>
                <c:pt idx="21">
                  <c:v>21.000000000000004</c:v>
                </c:pt>
                <c:pt idx="22">
                  <c:v>22.000000000000004</c:v>
                </c:pt>
                <c:pt idx="23">
                  <c:v>23.000000000000004</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42.000000000000007</c:v>
                </c:pt>
                <c:pt idx="43">
                  <c:v>43.000000000000007</c:v>
                </c:pt>
                <c:pt idx="44">
                  <c:v>44.000000000000007</c:v>
                </c:pt>
                <c:pt idx="45">
                  <c:v>45.000000000000007</c:v>
                </c:pt>
                <c:pt idx="46">
                  <c:v>46.000000000000007</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84.000000000000014</c:v>
                </c:pt>
                <c:pt idx="85">
                  <c:v>85.000000000000014</c:v>
                </c:pt>
                <c:pt idx="86">
                  <c:v>86.000000000000014</c:v>
                </c:pt>
                <c:pt idx="87">
                  <c:v>87.000000000000014</c:v>
                </c:pt>
                <c:pt idx="88">
                  <c:v>88.000000000000014</c:v>
                </c:pt>
                <c:pt idx="89">
                  <c:v>89.000000000000014</c:v>
                </c:pt>
                <c:pt idx="90">
                  <c:v>90.000000000000014</c:v>
                </c:pt>
                <c:pt idx="91">
                  <c:v>91.000000000000014</c:v>
                </c:pt>
                <c:pt idx="92">
                  <c:v>92.000000000000014</c:v>
                </c:pt>
                <c:pt idx="93">
                  <c:v>93.000000000000014</c:v>
                </c:pt>
                <c:pt idx="94">
                  <c:v>94</c:v>
                </c:pt>
                <c:pt idx="95">
                  <c:v>95</c:v>
                </c:pt>
                <c:pt idx="96">
                  <c:v>96</c:v>
                </c:pt>
                <c:pt idx="97">
                  <c:v>97</c:v>
                </c:pt>
                <c:pt idx="98">
                  <c:v>98</c:v>
                </c:pt>
                <c:pt idx="99">
                  <c:v>99</c:v>
                </c:pt>
                <c:pt idx="100">
                  <c:v>100</c:v>
                </c:pt>
              </c:numCache>
            </c:numRef>
          </c:cat>
          <c:val>
            <c:numRef>
              <c:f>'Calculations - Dual'!$AM$216:$AM$316</c:f>
              <c:numCache>
                <c:formatCode>0.0</c:formatCode>
                <c:ptCount val="101"/>
                <c:pt idx="0">
                  <c:v>10</c:v>
                </c:pt>
                <c:pt idx="1">
                  <c:v>27.199762187871581</c:v>
                </c:pt>
                <c:pt idx="2">
                  <c:v>54.399524375743162</c:v>
                </c:pt>
                <c:pt idx="3">
                  <c:v>81.599286563614726</c:v>
                </c:pt>
                <c:pt idx="4">
                  <c:v>108.79904875148632</c:v>
                </c:pt>
                <c:pt idx="5">
                  <c:v>135.9988109393579</c:v>
                </c:pt>
                <c:pt idx="6">
                  <c:v>163.19857312722945</c:v>
                </c:pt>
                <c:pt idx="7">
                  <c:v>190.39833531510109</c:v>
                </c:pt>
                <c:pt idx="8">
                  <c:v>217.59809750297265</c:v>
                </c:pt>
                <c:pt idx="9">
                  <c:v>244.79785969084423</c:v>
                </c:pt>
                <c:pt idx="10">
                  <c:v>271.99762187871579</c:v>
                </c:pt>
                <c:pt idx="11">
                  <c:v>299.1973840665874</c:v>
                </c:pt>
                <c:pt idx="12">
                  <c:v>326.3971462544589</c:v>
                </c:pt>
                <c:pt idx="13">
                  <c:v>350</c:v>
                </c:pt>
                <c:pt idx="14">
                  <c:v>350</c:v>
                </c:pt>
                <c:pt idx="15">
                  <c:v>350</c:v>
                </c:pt>
                <c:pt idx="16">
                  <c:v>350</c:v>
                </c:pt>
                <c:pt idx="17">
                  <c:v>350</c:v>
                </c:pt>
                <c:pt idx="18">
                  <c:v>350</c:v>
                </c:pt>
                <c:pt idx="19">
                  <c:v>350</c:v>
                </c:pt>
                <c:pt idx="20">
                  <c:v>350</c:v>
                </c:pt>
                <c:pt idx="21">
                  <c:v>350</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345.78203319246984</c:v>
                </c:pt>
                <c:pt idx="42">
                  <c:v>337.54912764026807</c:v>
                </c:pt>
                <c:pt idx="43">
                  <c:v>329.69914792770373</c:v>
                </c:pt>
                <c:pt idx="44">
                  <c:v>322.20598547480142</c:v>
                </c:pt>
                <c:pt idx="45">
                  <c:v>315.04585246425023</c:v>
                </c:pt>
                <c:pt idx="46">
                  <c:v>308.1970295845926</c:v>
                </c:pt>
                <c:pt idx="47">
                  <c:v>301.63964597640984</c:v>
                </c:pt>
                <c:pt idx="48">
                  <c:v>295.35548668523472</c:v>
                </c:pt>
                <c:pt idx="49">
                  <c:v>289.32782369165841</c:v>
                </c:pt>
                <c:pt idx="50">
                  <c:v>283.54126721782518</c:v>
                </c:pt>
                <c:pt idx="51">
                  <c:v>277.9816345272796</c:v>
                </c:pt>
                <c:pt idx="52">
                  <c:v>272.6358338632935</c:v>
                </c:pt>
                <c:pt idx="53">
                  <c:v>267.49176152625023</c:v>
                </c:pt>
                <c:pt idx="54">
                  <c:v>262.53821038687522</c:v>
                </c:pt>
                <c:pt idx="55">
                  <c:v>257.76478837984109</c:v>
                </c:pt>
                <c:pt idx="56">
                  <c:v>253.16184573020112</c:v>
                </c:pt>
                <c:pt idx="57">
                  <c:v>248.72040984019762</c:v>
                </c:pt>
                <c:pt idx="58">
                  <c:v>244.43212691191832</c:v>
                </c:pt>
                <c:pt idx="59">
                  <c:v>240.28920950663155</c:v>
                </c:pt>
                <c:pt idx="60">
                  <c:v>236.28438934818772</c:v>
                </c:pt>
                <c:pt idx="61">
                  <c:v>232.41087476870922</c:v>
                </c:pt>
                <c:pt idx="62">
                  <c:v>228.66231227243966</c:v>
                </c:pt>
                <c:pt idx="63">
                  <c:v>225.0327517601788</c:v>
                </c:pt>
                <c:pt idx="64">
                  <c:v>221.5166150139259</c:v>
                </c:pt>
                <c:pt idx="65">
                  <c:v>218.10866709063478</c:v>
                </c:pt>
                <c:pt idx="66">
                  <c:v>214.80399031653431</c:v>
                </c:pt>
                <c:pt idx="67">
                  <c:v>211.59796061031733</c:v>
                </c:pt>
                <c:pt idx="68">
                  <c:v>208.48622589545974</c:v>
                </c:pt>
                <c:pt idx="69">
                  <c:v>205.4646863897284</c:v>
                </c:pt>
                <c:pt idx="70">
                  <c:v>202.52947658416088</c:v>
                </c:pt>
                <c:pt idx="71">
                  <c:v>199.67694874494731</c:v>
                </c:pt>
                <c:pt idx="72">
                  <c:v>196.90365779015639</c:v>
                </c:pt>
                <c:pt idx="73">
                  <c:v>194.20634740946934</c:v>
                </c:pt>
                <c:pt idx="74">
                  <c:v>191.58193730934141</c:v>
                </c:pt>
                <c:pt idx="75">
                  <c:v>189.02751147855017</c:v>
                </c:pt>
                <c:pt idx="76">
                  <c:v>186.54030738014822</c:v>
                </c:pt>
                <c:pt idx="77">
                  <c:v>184.11770598560082</c:v>
                </c:pt>
                <c:pt idx="78">
                  <c:v>181.75722257552897</c:v>
                </c:pt>
                <c:pt idx="79">
                  <c:v>179.45649823912987</c:v>
                </c:pt>
                <c:pt idx="80">
                  <c:v>177.21329201114077</c:v>
                </c:pt>
                <c:pt idx="81">
                  <c:v>175.02547359125012</c:v>
                </c:pt>
                <c:pt idx="82">
                  <c:v>172.89101659623492</c:v>
                </c:pt>
                <c:pt idx="83">
                  <c:v>170.80799229989475</c:v>
                </c:pt>
                <c:pt idx="84">
                  <c:v>168.77456382013403</c:v>
                </c:pt>
                <c:pt idx="85">
                  <c:v>166.78898071636777</c:v>
                </c:pt>
                <c:pt idx="86">
                  <c:v>164.84957396385187</c:v>
                </c:pt>
                <c:pt idx="87">
                  <c:v>162.95475127461216</c:v>
                </c:pt>
                <c:pt idx="88">
                  <c:v>161.10299273740071</c:v>
                </c:pt>
                <c:pt idx="89">
                  <c:v>159.87967798367487</c:v>
                </c:pt>
                <c:pt idx="90">
                  <c:v>158.80309893493649</c:v>
                </c:pt>
                <c:pt idx="91">
                  <c:v>157.74131368118847</c:v>
                </c:pt>
                <c:pt idx="92">
                  <c:v>156.69401937017983</c:v>
                </c:pt>
                <c:pt idx="93">
                  <c:v>155.66092136011505</c:v>
                </c:pt>
                <c:pt idx="94">
                  <c:v>154.64173294329129</c:v>
                </c:pt>
                <c:pt idx="95">
                  <c:v>153.63617508082268</c:v>
                </c:pt>
                <c:pt idx="96">
                  <c:v>152.64397614793876</c:v>
                </c:pt>
                <c:pt idx="97">
                  <c:v>151.66487168936567</c:v>
                </c:pt>
                <c:pt idx="98">
                  <c:v>150.69860418433001</c:v>
                </c:pt>
                <c:pt idx="99">
                  <c:v>149.74492282074479</c:v>
                </c:pt>
                <c:pt idx="100">
                  <c:v>148.80358327816262</c:v>
                </c:pt>
              </c:numCache>
            </c:numRef>
          </c:val>
          <c:smooth val="0"/>
        </c:ser>
        <c:ser>
          <c:idx val="12"/>
          <c:order val="9"/>
          <c:spPr>
            <a:ln>
              <a:noFill/>
            </a:ln>
          </c:spPr>
          <c:marker>
            <c:symbol val="none"/>
          </c:marker>
          <c:cat>
            <c:numRef>
              <c:f>'Calculations - Dual'!$BZ$5:$BZ$105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11.000000000000002</c:v>
                </c:pt>
                <c:pt idx="12">
                  <c:v>12</c:v>
                </c:pt>
                <c:pt idx="13">
                  <c:v>13</c:v>
                </c:pt>
                <c:pt idx="14">
                  <c:v>14.000000000000002</c:v>
                </c:pt>
                <c:pt idx="15">
                  <c:v>15</c:v>
                </c:pt>
                <c:pt idx="16">
                  <c:v>16</c:v>
                </c:pt>
                <c:pt idx="17">
                  <c:v>17</c:v>
                </c:pt>
                <c:pt idx="18">
                  <c:v>18</c:v>
                </c:pt>
                <c:pt idx="19">
                  <c:v>19</c:v>
                </c:pt>
                <c:pt idx="20">
                  <c:v>20</c:v>
                </c:pt>
                <c:pt idx="21">
                  <c:v>21.000000000000004</c:v>
                </c:pt>
                <c:pt idx="22">
                  <c:v>22.000000000000004</c:v>
                </c:pt>
                <c:pt idx="23">
                  <c:v>23.000000000000004</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42.000000000000007</c:v>
                </c:pt>
                <c:pt idx="43">
                  <c:v>43.000000000000007</c:v>
                </c:pt>
                <c:pt idx="44">
                  <c:v>44.000000000000007</c:v>
                </c:pt>
                <c:pt idx="45">
                  <c:v>45.000000000000007</c:v>
                </c:pt>
                <c:pt idx="46">
                  <c:v>46.000000000000007</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84.000000000000014</c:v>
                </c:pt>
                <c:pt idx="85">
                  <c:v>85.000000000000014</c:v>
                </c:pt>
                <c:pt idx="86">
                  <c:v>86.000000000000014</c:v>
                </c:pt>
                <c:pt idx="87">
                  <c:v>87.000000000000014</c:v>
                </c:pt>
                <c:pt idx="88">
                  <c:v>88.000000000000014</c:v>
                </c:pt>
                <c:pt idx="89">
                  <c:v>89.000000000000014</c:v>
                </c:pt>
                <c:pt idx="90">
                  <c:v>90.000000000000014</c:v>
                </c:pt>
                <c:pt idx="91">
                  <c:v>91.000000000000014</c:v>
                </c:pt>
                <c:pt idx="92">
                  <c:v>92.000000000000014</c:v>
                </c:pt>
                <c:pt idx="93">
                  <c:v>93.000000000000014</c:v>
                </c:pt>
                <c:pt idx="94">
                  <c:v>94</c:v>
                </c:pt>
                <c:pt idx="95">
                  <c:v>95</c:v>
                </c:pt>
                <c:pt idx="96">
                  <c:v>96</c:v>
                </c:pt>
                <c:pt idx="97">
                  <c:v>97</c:v>
                </c:pt>
                <c:pt idx="98">
                  <c:v>98</c:v>
                </c:pt>
                <c:pt idx="99">
                  <c:v>99</c:v>
                </c:pt>
                <c:pt idx="100">
                  <c:v>100</c:v>
                </c:pt>
              </c:numCache>
            </c:numRef>
          </c:cat>
          <c:val>
            <c:numRef>
              <c:f>'Calculations - Dual'!$CB$110:$CB$210</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83.400116000578166</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ser>
        <c:ser>
          <c:idx val="13"/>
          <c:order val="10"/>
          <c:spPr>
            <a:ln>
              <a:noFill/>
            </a:ln>
          </c:spPr>
          <c:marker>
            <c:symbol val="none"/>
          </c:marker>
          <c:cat>
            <c:numRef>
              <c:f>'Calculations - Dual'!$BZ$5:$BZ$105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11.000000000000002</c:v>
                </c:pt>
                <c:pt idx="12">
                  <c:v>12</c:v>
                </c:pt>
                <c:pt idx="13">
                  <c:v>13</c:v>
                </c:pt>
                <c:pt idx="14">
                  <c:v>14.000000000000002</c:v>
                </c:pt>
                <c:pt idx="15">
                  <c:v>15</c:v>
                </c:pt>
                <c:pt idx="16">
                  <c:v>16</c:v>
                </c:pt>
                <c:pt idx="17">
                  <c:v>17</c:v>
                </c:pt>
                <c:pt idx="18">
                  <c:v>18</c:v>
                </c:pt>
                <c:pt idx="19">
                  <c:v>19</c:v>
                </c:pt>
                <c:pt idx="20">
                  <c:v>20</c:v>
                </c:pt>
                <c:pt idx="21">
                  <c:v>21.000000000000004</c:v>
                </c:pt>
                <c:pt idx="22">
                  <c:v>22.000000000000004</c:v>
                </c:pt>
                <c:pt idx="23">
                  <c:v>23.000000000000004</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42.000000000000007</c:v>
                </c:pt>
                <c:pt idx="43">
                  <c:v>43.000000000000007</c:v>
                </c:pt>
                <c:pt idx="44">
                  <c:v>44.000000000000007</c:v>
                </c:pt>
                <c:pt idx="45">
                  <c:v>45.000000000000007</c:v>
                </c:pt>
                <c:pt idx="46">
                  <c:v>46.000000000000007</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84.000000000000014</c:v>
                </c:pt>
                <c:pt idx="85">
                  <c:v>85.000000000000014</c:v>
                </c:pt>
                <c:pt idx="86">
                  <c:v>86.000000000000014</c:v>
                </c:pt>
                <c:pt idx="87">
                  <c:v>87.000000000000014</c:v>
                </c:pt>
                <c:pt idx="88">
                  <c:v>88.000000000000014</c:v>
                </c:pt>
                <c:pt idx="89">
                  <c:v>89.000000000000014</c:v>
                </c:pt>
                <c:pt idx="90">
                  <c:v>90.000000000000014</c:v>
                </c:pt>
                <c:pt idx="91">
                  <c:v>91.000000000000014</c:v>
                </c:pt>
                <c:pt idx="92">
                  <c:v>92.000000000000014</c:v>
                </c:pt>
                <c:pt idx="93">
                  <c:v>93.000000000000014</c:v>
                </c:pt>
                <c:pt idx="94">
                  <c:v>94</c:v>
                </c:pt>
                <c:pt idx="95">
                  <c:v>95</c:v>
                </c:pt>
                <c:pt idx="96">
                  <c:v>96</c:v>
                </c:pt>
                <c:pt idx="97">
                  <c:v>97</c:v>
                </c:pt>
                <c:pt idx="98">
                  <c:v>98</c:v>
                </c:pt>
                <c:pt idx="99">
                  <c:v>99</c:v>
                </c:pt>
                <c:pt idx="100">
                  <c:v>100</c:v>
                </c:pt>
              </c:numCache>
            </c:numRef>
          </c:cat>
          <c:val>
            <c:numRef>
              <c:f>'Calculations - Dual'!$CB$5:$CB$105</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94.404596257057591</c:v>
                </c:pt>
                <c:pt idx="98">
                  <c:v>-50</c:v>
                </c:pt>
                <c:pt idx="99">
                  <c:v>-50</c:v>
                </c:pt>
                <c:pt idx="100">
                  <c:v>-50</c:v>
                </c:pt>
              </c:numCache>
            </c:numRef>
          </c:val>
          <c:smooth val="0"/>
        </c:ser>
        <c:ser>
          <c:idx val="14"/>
          <c:order val="11"/>
          <c:spPr>
            <a:ln>
              <a:noFill/>
            </a:ln>
          </c:spPr>
          <c:marker>
            <c:symbol val="none"/>
          </c:marker>
          <c:cat>
            <c:numRef>
              <c:f>'Calculations - Dual'!$BZ$5:$BZ$105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11.000000000000002</c:v>
                </c:pt>
                <c:pt idx="12">
                  <c:v>12</c:v>
                </c:pt>
                <c:pt idx="13">
                  <c:v>13</c:v>
                </c:pt>
                <c:pt idx="14">
                  <c:v>14.000000000000002</c:v>
                </c:pt>
                <c:pt idx="15">
                  <c:v>15</c:v>
                </c:pt>
                <c:pt idx="16">
                  <c:v>16</c:v>
                </c:pt>
                <c:pt idx="17">
                  <c:v>17</c:v>
                </c:pt>
                <c:pt idx="18">
                  <c:v>18</c:v>
                </c:pt>
                <c:pt idx="19">
                  <c:v>19</c:v>
                </c:pt>
                <c:pt idx="20">
                  <c:v>20</c:v>
                </c:pt>
                <c:pt idx="21">
                  <c:v>21.000000000000004</c:v>
                </c:pt>
                <c:pt idx="22">
                  <c:v>22.000000000000004</c:v>
                </c:pt>
                <c:pt idx="23">
                  <c:v>23.000000000000004</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42.000000000000007</c:v>
                </c:pt>
                <c:pt idx="43">
                  <c:v>43.000000000000007</c:v>
                </c:pt>
                <c:pt idx="44">
                  <c:v>44.000000000000007</c:v>
                </c:pt>
                <c:pt idx="45">
                  <c:v>45.000000000000007</c:v>
                </c:pt>
                <c:pt idx="46">
                  <c:v>46.000000000000007</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84.000000000000014</c:v>
                </c:pt>
                <c:pt idx="85">
                  <c:v>85.000000000000014</c:v>
                </c:pt>
                <c:pt idx="86">
                  <c:v>86.000000000000014</c:v>
                </c:pt>
                <c:pt idx="87">
                  <c:v>87.000000000000014</c:v>
                </c:pt>
                <c:pt idx="88">
                  <c:v>88.000000000000014</c:v>
                </c:pt>
                <c:pt idx="89">
                  <c:v>89.000000000000014</c:v>
                </c:pt>
                <c:pt idx="90">
                  <c:v>90.000000000000014</c:v>
                </c:pt>
                <c:pt idx="91">
                  <c:v>91.000000000000014</c:v>
                </c:pt>
                <c:pt idx="92">
                  <c:v>92.000000000000014</c:v>
                </c:pt>
                <c:pt idx="93">
                  <c:v>93.000000000000014</c:v>
                </c:pt>
                <c:pt idx="94">
                  <c:v>94</c:v>
                </c:pt>
                <c:pt idx="95">
                  <c:v>95</c:v>
                </c:pt>
                <c:pt idx="96">
                  <c:v>96</c:v>
                </c:pt>
                <c:pt idx="97">
                  <c:v>97</c:v>
                </c:pt>
                <c:pt idx="98">
                  <c:v>98</c:v>
                </c:pt>
                <c:pt idx="99">
                  <c:v>99</c:v>
                </c:pt>
                <c:pt idx="100">
                  <c:v>100</c:v>
                </c:pt>
              </c:numCache>
            </c:numRef>
          </c:cat>
          <c:val>
            <c:numRef>
              <c:f>'Calculations - Dual'!$CB$216:$CB$316</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161.10299273740071</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ser>
        <c:ser>
          <c:idx val="1"/>
          <c:order val="0"/>
          <c:tx>
            <c:v>VIN-min</c:v>
          </c:tx>
          <c:spPr>
            <a:ln>
              <a:solidFill>
                <a:srgbClr val="00B050"/>
              </a:solidFill>
              <a:prstDash val="sysDash"/>
            </a:ln>
          </c:spPr>
          <c:marker>
            <c:symbol val="none"/>
          </c:marker>
          <c:cat>
            <c:numRef>
              <c:f>'Calculations - Dual'!$BZ$5:$BZ$105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11.000000000000002</c:v>
                </c:pt>
                <c:pt idx="12">
                  <c:v>12</c:v>
                </c:pt>
                <c:pt idx="13">
                  <c:v>13</c:v>
                </c:pt>
                <c:pt idx="14">
                  <c:v>14.000000000000002</c:v>
                </c:pt>
                <c:pt idx="15">
                  <c:v>15</c:v>
                </c:pt>
                <c:pt idx="16">
                  <c:v>16</c:v>
                </c:pt>
                <c:pt idx="17">
                  <c:v>17</c:v>
                </c:pt>
                <c:pt idx="18">
                  <c:v>18</c:v>
                </c:pt>
                <c:pt idx="19">
                  <c:v>19</c:v>
                </c:pt>
                <c:pt idx="20">
                  <c:v>20</c:v>
                </c:pt>
                <c:pt idx="21">
                  <c:v>21.000000000000004</c:v>
                </c:pt>
                <c:pt idx="22">
                  <c:v>22.000000000000004</c:v>
                </c:pt>
                <c:pt idx="23">
                  <c:v>23.000000000000004</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42.000000000000007</c:v>
                </c:pt>
                <c:pt idx="43">
                  <c:v>43.000000000000007</c:v>
                </c:pt>
                <c:pt idx="44">
                  <c:v>44.000000000000007</c:v>
                </c:pt>
                <c:pt idx="45">
                  <c:v>45.000000000000007</c:v>
                </c:pt>
                <c:pt idx="46">
                  <c:v>46.000000000000007</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84.000000000000014</c:v>
                </c:pt>
                <c:pt idx="85">
                  <c:v>85.000000000000014</c:v>
                </c:pt>
                <c:pt idx="86">
                  <c:v>86.000000000000014</c:v>
                </c:pt>
                <c:pt idx="87">
                  <c:v>87.000000000000014</c:v>
                </c:pt>
                <c:pt idx="88">
                  <c:v>88.000000000000014</c:v>
                </c:pt>
                <c:pt idx="89">
                  <c:v>89.000000000000014</c:v>
                </c:pt>
                <c:pt idx="90">
                  <c:v>90.000000000000014</c:v>
                </c:pt>
                <c:pt idx="91">
                  <c:v>91.000000000000014</c:v>
                </c:pt>
                <c:pt idx="92">
                  <c:v>92.000000000000014</c:v>
                </c:pt>
                <c:pt idx="93">
                  <c:v>93.000000000000014</c:v>
                </c:pt>
                <c:pt idx="94">
                  <c:v>94</c:v>
                </c:pt>
                <c:pt idx="95">
                  <c:v>95</c:v>
                </c:pt>
                <c:pt idx="96">
                  <c:v>96</c:v>
                </c:pt>
                <c:pt idx="97">
                  <c:v>97</c:v>
                </c:pt>
                <c:pt idx="98">
                  <c:v>98</c:v>
                </c:pt>
                <c:pt idx="99">
                  <c:v>99</c:v>
                </c:pt>
                <c:pt idx="100">
                  <c:v>100</c:v>
                </c:pt>
              </c:numCache>
            </c:numRef>
          </c:cat>
          <c:val>
            <c:numRef>
              <c:f>'Calculations - Dual'!$AM$110:$AM$210</c:f>
              <c:numCache>
                <c:formatCode>0.0</c:formatCode>
                <c:ptCount val="101"/>
                <c:pt idx="0">
                  <c:v>10</c:v>
                </c:pt>
                <c:pt idx="1">
                  <c:v>27.199762187871581</c:v>
                </c:pt>
                <c:pt idx="2">
                  <c:v>54.399524375743162</c:v>
                </c:pt>
                <c:pt idx="3">
                  <c:v>81.599286563614726</c:v>
                </c:pt>
                <c:pt idx="4">
                  <c:v>108.79904875148632</c:v>
                </c:pt>
                <c:pt idx="5">
                  <c:v>135.9988109393579</c:v>
                </c:pt>
                <c:pt idx="6">
                  <c:v>163.19857312722945</c:v>
                </c:pt>
                <c:pt idx="7">
                  <c:v>190.39833531510109</c:v>
                </c:pt>
                <c:pt idx="8">
                  <c:v>217.59809750297265</c:v>
                </c:pt>
                <c:pt idx="9">
                  <c:v>244.79785969084423</c:v>
                </c:pt>
                <c:pt idx="10">
                  <c:v>271.99762187871579</c:v>
                </c:pt>
                <c:pt idx="11">
                  <c:v>299.1973840665874</c:v>
                </c:pt>
                <c:pt idx="12">
                  <c:v>326.3971462544589</c:v>
                </c:pt>
                <c:pt idx="13">
                  <c:v>288.69270923277054</c:v>
                </c:pt>
                <c:pt idx="14">
                  <c:v>268.07180143042973</c:v>
                </c:pt>
                <c:pt idx="15">
                  <c:v>250.20034800173451</c:v>
                </c:pt>
                <c:pt idx="16">
                  <c:v>234.56282625162609</c:v>
                </c:pt>
                <c:pt idx="17">
                  <c:v>220.7650129427069</c:v>
                </c:pt>
                <c:pt idx="18">
                  <c:v>208.50029000144542</c:v>
                </c:pt>
                <c:pt idx="19">
                  <c:v>197.52659052768516</c:v>
                </c:pt>
                <c:pt idx="20">
                  <c:v>187.65026100130086</c:v>
                </c:pt>
                <c:pt idx="21">
                  <c:v>178.71453428695321</c:v>
                </c:pt>
                <c:pt idx="22">
                  <c:v>170.59114636481894</c:v>
                </c:pt>
                <c:pt idx="23">
                  <c:v>163.17414000113115</c:v>
                </c:pt>
                <c:pt idx="24">
                  <c:v>156.37521750108408</c:v>
                </c:pt>
                <c:pt idx="25">
                  <c:v>150.12020880104066</c:v>
                </c:pt>
                <c:pt idx="26">
                  <c:v>144.34635461638527</c:v>
                </c:pt>
                <c:pt idx="27">
                  <c:v>139.00019333429694</c:v>
                </c:pt>
                <c:pt idx="28">
                  <c:v>134.03590071521486</c:v>
                </c:pt>
                <c:pt idx="29">
                  <c:v>129.41397310434542</c:v>
                </c:pt>
                <c:pt idx="30">
                  <c:v>125.10017400086726</c:v>
                </c:pt>
                <c:pt idx="31">
                  <c:v>121.06468451696827</c:v>
                </c:pt>
                <c:pt idx="32">
                  <c:v>117.28141312581305</c:v>
                </c:pt>
                <c:pt idx="33">
                  <c:v>113.7274309098793</c:v>
                </c:pt>
                <c:pt idx="34">
                  <c:v>110.38250647135345</c:v>
                </c:pt>
                <c:pt idx="35">
                  <c:v>107.22872057217191</c:v>
                </c:pt>
                <c:pt idx="36">
                  <c:v>104.25014500072271</c:v>
                </c:pt>
                <c:pt idx="37">
                  <c:v>101.4325735142167</c:v>
                </c:pt>
                <c:pt idx="38">
                  <c:v>98.763295263842579</c:v>
                </c:pt>
                <c:pt idx="39">
                  <c:v>96.230903077590185</c:v>
                </c:pt>
                <c:pt idx="40">
                  <c:v>93.825130500650431</c:v>
                </c:pt>
                <c:pt idx="41">
                  <c:v>91.53671268356139</c:v>
                </c:pt>
                <c:pt idx="42">
                  <c:v>89.357267143476605</c:v>
                </c:pt>
                <c:pt idx="43">
                  <c:v>87.279191163395737</c:v>
                </c:pt>
                <c:pt idx="44">
                  <c:v>85.29557318240947</c:v>
                </c:pt>
                <c:pt idx="45">
                  <c:v>83.400116000578166</c:v>
                </c:pt>
                <c:pt idx="46">
                  <c:v>82.366063560073954</c:v>
                </c:pt>
                <c:pt idx="47">
                  <c:v>81.810907289115875</c:v>
                </c:pt>
                <c:pt idx="48">
                  <c:v>81.263577336392643</c:v>
                </c:pt>
                <c:pt idx="49">
                  <c:v>80.723909362949655</c:v>
                </c:pt>
                <c:pt idx="50">
                  <c:v>80.191743598957501</c:v>
                </c:pt>
                <c:pt idx="51">
                  <c:v>79.666924686013544</c:v>
                </c:pt>
                <c:pt idx="52">
                  <c:v>79.149301525929971</c:v>
                </c:pt>
                <c:pt idx="53">
                  <c:v>78.638727135699412</c:v>
                </c:pt>
                <c:pt idx="54">
                  <c:v>78.135058508345494</c:v>
                </c:pt>
                <c:pt idx="55">
                  <c:v>77.638156479381607</c:v>
                </c:pt>
                <c:pt idx="56">
                  <c:v>77.147885598616028</c:v>
                </c:pt>
                <c:pt idx="57">
                  <c:v>76.66411400705536</c:v>
                </c:pt>
                <c:pt idx="58">
                  <c:v>76.186713318671025</c:v>
                </c:pt>
                <c:pt idx="59">
                  <c:v>75.715558506806616</c:v>
                </c:pt>
                <c:pt idx="60">
                  <c:v>75.250527795014506</c:v>
                </c:pt>
                <c:pt idx="61">
                  <c:v>74.791502552121784</c:v>
                </c:pt>
                <c:pt idx="62">
                  <c:v>74.338367191335493</c:v>
                </c:pt>
                <c:pt idx="63">
                  <c:v>73.891009073206902</c:v>
                </c:pt>
                <c:pt idx="64">
                  <c:v>73.449318412283816</c:v>
                </c:pt>
                <c:pt idx="65">
                  <c:v>73.013188187288293</c:v>
                </c:pt>
                <c:pt idx="66">
                  <c:v>72.58251405466541</c:v>
                </c:pt>
                <c:pt idx="67">
                  <c:v>72.157194265356509</c:v>
                </c:pt>
                <c:pt idx="68">
                  <c:v>71.737129584657453</c:v>
                </c:pt>
                <c:pt idx="69">
                  <c:v>71.322223215029055</c:v>
                </c:pt>
                <c:pt idx="70">
                  <c:v>70.91238072173401</c:v>
                </c:pt>
                <c:pt idx="71">
                  <c:v>70.50750996117992</c:v>
                </c:pt>
                <c:pt idx="72">
                  <c:v>70.107521011854502</c:v>
                </c:pt>
                <c:pt idx="73">
                  <c:v>69.71232610774392</c:v>
                </c:pt>
                <c:pt idx="74">
                  <c:v>69.321839574131175</c:v>
                </c:pt>
                <c:pt idx="75">
                  <c:v>68.935977765675332</c:v>
                </c:pt>
                <c:pt idx="76">
                  <c:v>68.554659006678023</c:v>
                </c:pt>
                <c:pt idx="77">
                  <c:v>68.177803533447417</c:v>
                </c:pt>
                <c:pt idx="78">
                  <c:v>67.80533343867431</c:v>
                </c:pt>
                <c:pt idx="79">
                  <c:v>67.437172617738838</c:v>
                </c:pt>
                <c:pt idx="80">
                  <c:v>67.073246716869974</c:v>
                </c:pt>
                <c:pt idx="81">
                  <c:v>66.713483083083887</c:v>
                </c:pt>
                <c:pt idx="82">
                  <c:v>66.357810715830198</c:v>
                </c:pt>
                <c:pt idx="83">
                  <c:v>66.006160220278389</c:v>
                </c:pt>
                <c:pt idx="84">
                  <c:v>65.65846376218019</c:v>
                </c:pt>
                <c:pt idx="85">
                  <c:v>65.314655024246022</c:v>
                </c:pt>
                <c:pt idx="86">
                  <c:v>64.974669163976486</c:v>
                </c:pt>
                <c:pt idx="87">
                  <c:v>64.638442772892915</c:v>
                </c:pt>
                <c:pt idx="88">
                  <c:v>64.305913837112797</c:v>
                </c:pt>
                <c:pt idx="89">
                  <c:v>63.977021699218746</c:v>
                </c:pt>
                <c:pt idx="90">
                  <c:v>63.65170702137182</c:v>
                </c:pt>
                <c:pt idx="91">
                  <c:v>63.329911749621978</c:v>
                </c:pt>
                <c:pt idx="92">
                  <c:v>63.011579079370662</c:v>
                </c:pt>
                <c:pt idx="93">
                  <c:v>62.69665342194218</c:v>
                </c:pt>
                <c:pt idx="94">
                  <c:v>62.385080372222916</c:v>
                </c:pt>
                <c:pt idx="95">
                  <c:v>62.076806677328321</c:v>
                </c:pt>
                <c:pt idx="96">
                  <c:v>61.771780206260367</c:v>
                </c:pt>
                <c:pt idx="97">
                  <c:v>61.469949920518438</c:v>
                </c:pt>
                <c:pt idx="98">
                  <c:v>61.171265845629641</c:v>
                </c:pt>
                <c:pt idx="99">
                  <c:v>60.875679043564467</c:v>
                </c:pt>
                <c:pt idx="100">
                  <c:v>60.583141586006448</c:v>
                </c:pt>
              </c:numCache>
            </c:numRef>
          </c:val>
          <c:smooth val="0"/>
        </c:ser>
        <c:ser>
          <c:idx val="0"/>
          <c:order val="1"/>
          <c:tx>
            <c:v>VIN-nom</c:v>
          </c:tx>
          <c:spPr>
            <a:ln w="28575">
              <a:solidFill>
                <a:srgbClr val="0000FF"/>
              </a:solidFill>
              <a:prstDash val="lgDash"/>
            </a:ln>
          </c:spPr>
          <c:marker>
            <c:symbol val="none"/>
          </c:marker>
          <c:cat>
            <c:numRef>
              <c:f>'Calculations - Dual'!$BZ$5:$BZ$105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11.000000000000002</c:v>
                </c:pt>
                <c:pt idx="12">
                  <c:v>12</c:v>
                </c:pt>
                <c:pt idx="13">
                  <c:v>13</c:v>
                </c:pt>
                <c:pt idx="14">
                  <c:v>14.000000000000002</c:v>
                </c:pt>
                <c:pt idx="15">
                  <c:v>15</c:v>
                </c:pt>
                <c:pt idx="16">
                  <c:v>16</c:v>
                </c:pt>
                <c:pt idx="17">
                  <c:v>17</c:v>
                </c:pt>
                <c:pt idx="18">
                  <c:v>18</c:v>
                </c:pt>
                <c:pt idx="19">
                  <c:v>19</c:v>
                </c:pt>
                <c:pt idx="20">
                  <c:v>20</c:v>
                </c:pt>
                <c:pt idx="21">
                  <c:v>21.000000000000004</c:v>
                </c:pt>
                <c:pt idx="22">
                  <c:v>22.000000000000004</c:v>
                </c:pt>
                <c:pt idx="23">
                  <c:v>23.000000000000004</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42.000000000000007</c:v>
                </c:pt>
                <c:pt idx="43">
                  <c:v>43.000000000000007</c:v>
                </c:pt>
                <c:pt idx="44">
                  <c:v>44.000000000000007</c:v>
                </c:pt>
                <c:pt idx="45">
                  <c:v>45.000000000000007</c:v>
                </c:pt>
                <c:pt idx="46">
                  <c:v>46.000000000000007</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84.000000000000014</c:v>
                </c:pt>
                <c:pt idx="85">
                  <c:v>85.000000000000014</c:v>
                </c:pt>
                <c:pt idx="86">
                  <c:v>86.000000000000014</c:v>
                </c:pt>
                <c:pt idx="87">
                  <c:v>87.000000000000014</c:v>
                </c:pt>
                <c:pt idx="88">
                  <c:v>88.000000000000014</c:v>
                </c:pt>
                <c:pt idx="89">
                  <c:v>89.000000000000014</c:v>
                </c:pt>
                <c:pt idx="90">
                  <c:v>90.000000000000014</c:v>
                </c:pt>
                <c:pt idx="91">
                  <c:v>91.000000000000014</c:v>
                </c:pt>
                <c:pt idx="92">
                  <c:v>92.000000000000014</c:v>
                </c:pt>
                <c:pt idx="93">
                  <c:v>93.000000000000014</c:v>
                </c:pt>
                <c:pt idx="94">
                  <c:v>94</c:v>
                </c:pt>
                <c:pt idx="95">
                  <c:v>95</c:v>
                </c:pt>
                <c:pt idx="96">
                  <c:v>96</c:v>
                </c:pt>
                <c:pt idx="97">
                  <c:v>97</c:v>
                </c:pt>
                <c:pt idx="98">
                  <c:v>98</c:v>
                </c:pt>
                <c:pt idx="99">
                  <c:v>99</c:v>
                </c:pt>
                <c:pt idx="100">
                  <c:v>100</c:v>
                </c:pt>
              </c:numCache>
            </c:numRef>
          </c:cat>
          <c:val>
            <c:numRef>
              <c:f>'Calculations - Dual'!$AM$5:$AM$105</c:f>
              <c:numCache>
                <c:formatCode>0.0</c:formatCode>
                <c:ptCount val="101"/>
                <c:pt idx="0">
                  <c:v>10</c:v>
                </c:pt>
                <c:pt idx="1">
                  <c:v>27.199762187871581</c:v>
                </c:pt>
                <c:pt idx="2">
                  <c:v>54.399524375743162</c:v>
                </c:pt>
                <c:pt idx="3">
                  <c:v>81.599286563614726</c:v>
                </c:pt>
                <c:pt idx="4">
                  <c:v>108.79904875148632</c:v>
                </c:pt>
                <c:pt idx="5">
                  <c:v>135.9988109393579</c:v>
                </c:pt>
                <c:pt idx="6">
                  <c:v>163.19857312722945</c:v>
                </c:pt>
                <c:pt idx="7">
                  <c:v>190.39833531510109</c:v>
                </c:pt>
                <c:pt idx="8">
                  <c:v>217.59809750297265</c:v>
                </c:pt>
                <c:pt idx="9">
                  <c:v>244.79785969084423</c:v>
                </c:pt>
                <c:pt idx="10">
                  <c:v>271.99762187871579</c:v>
                </c:pt>
                <c:pt idx="11">
                  <c:v>299.1973840665874</c:v>
                </c:pt>
                <c:pt idx="12">
                  <c:v>326.3971462544589</c:v>
                </c:pt>
                <c:pt idx="13">
                  <c:v>350</c:v>
                </c:pt>
                <c:pt idx="14">
                  <c:v>350</c:v>
                </c:pt>
                <c:pt idx="15">
                  <c:v>350</c:v>
                </c:pt>
                <c:pt idx="16">
                  <c:v>350</c:v>
                </c:pt>
                <c:pt idx="17">
                  <c:v>350</c:v>
                </c:pt>
                <c:pt idx="18">
                  <c:v>350</c:v>
                </c:pt>
                <c:pt idx="19">
                  <c:v>350</c:v>
                </c:pt>
                <c:pt idx="20">
                  <c:v>350</c:v>
                </c:pt>
                <c:pt idx="21">
                  <c:v>350</c:v>
                </c:pt>
                <c:pt idx="22">
                  <c:v>334.23345408502564</c:v>
                </c:pt>
                <c:pt idx="23">
                  <c:v>319.701564776981</c:v>
                </c:pt>
                <c:pt idx="24">
                  <c:v>306.38066624460686</c:v>
                </c:pt>
                <c:pt idx="25">
                  <c:v>294.12543959482258</c:v>
                </c:pt>
                <c:pt idx="26">
                  <c:v>282.81292268732943</c:v>
                </c:pt>
                <c:pt idx="27">
                  <c:v>272.33836999520605</c:v>
                </c:pt>
                <c:pt idx="28">
                  <c:v>262.61199963823447</c:v>
                </c:pt>
                <c:pt idx="29">
                  <c:v>253.55641344381257</c:v>
                </c:pt>
                <c:pt idx="30">
                  <c:v>245.10453299568553</c:v>
                </c:pt>
                <c:pt idx="31">
                  <c:v>237.1979351571149</c:v>
                </c:pt>
                <c:pt idx="32">
                  <c:v>229.7854996834551</c:v>
                </c:pt>
                <c:pt idx="33">
                  <c:v>222.82230272335045</c:v>
                </c:pt>
                <c:pt idx="34">
                  <c:v>216.26870558442837</c:v>
                </c:pt>
                <c:pt idx="35">
                  <c:v>210.08959971058755</c:v>
                </c:pt>
                <c:pt idx="36">
                  <c:v>204.25377749640455</c:v>
                </c:pt>
                <c:pt idx="37">
                  <c:v>198.73340513163691</c:v>
                </c:pt>
                <c:pt idx="38">
                  <c:v>193.50357868080437</c:v>
                </c:pt>
                <c:pt idx="39">
                  <c:v>188.54194845821957</c:v>
                </c:pt>
                <c:pt idx="40">
                  <c:v>183.82839974676412</c:v>
                </c:pt>
                <c:pt idx="41">
                  <c:v>179.34478024074548</c:v>
                </c:pt>
                <c:pt idx="42">
                  <c:v>175.07466642548962</c:v>
                </c:pt>
                <c:pt idx="43">
                  <c:v>171.00316255512939</c:v>
                </c:pt>
                <c:pt idx="44">
                  <c:v>167.11672704251282</c:v>
                </c:pt>
                <c:pt idx="45">
                  <c:v>163.4030219971236</c:v>
                </c:pt>
                <c:pt idx="46">
                  <c:v>159.8507823884905</c:v>
                </c:pt>
                <c:pt idx="47">
                  <c:v>156.44970191213969</c:v>
                </c:pt>
                <c:pt idx="48">
                  <c:v>153.19033312230343</c:v>
                </c:pt>
                <c:pt idx="49">
                  <c:v>150.06399979327679</c:v>
                </c:pt>
                <c:pt idx="50">
                  <c:v>147.06271979741129</c:v>
                </c:pt>
                <c:pt idx="51">
                  <c:v>144.17913705628558</c:v>
                </c:pt>
                <c:pt idx="52">
                  <c:v>141.40646134366472</c:v>
                </c:pt>
                <c:pt idx="53">
                  <c:v>138.73841490321817</c:v>
                </c:pt>
                <c:pt idx="54">
                  <c:v>136.16918499760303</c:v>
                </c:pt>
                <c:pt idx="55">
                  <c:v>133.69338163401028</c:v>
                </c:pt>
                <c:pt idx="56">
                  <c:v>131.30599981911723</c:v>
                </c:pt>
                <c:pt idx="57">
                  <c:v>129.00238578720288</c:v>
                </c:pt>
                <c:pt idx="58">
                  <c:v>126.77820672190629</c:v>
                </c:pt>
                <c:pt idx="59">
                  <c:v>124.62942355712821</c:v>
                </c:pt>
                <c:pt idx="60">
                  <c:v>122.55226649784277</c:v>
                </c:pt>
                <c:pt idx="61">
                  <c:v>120.5432129486978</c:v>
                </c:pt>
                <c:pt idx="62">
                  <c:v>118.59896757855745</c:v>
                </c:pt>
                <c:pt idx="63">
                  <c:v>116.71644428365977</c:v>
                </c:pt>
                <c:pt idx="64">
                  <c:v>115.39752144821379</c:v>
                </c:pt>
                <c:pt idx="65">
                  <c:v>114.61878047373666</c:v>
                </c:pt>
                <c:pt idx="66">
                  <c:v>113.85087320122068</c:v>
                </c:pt>
                <c:pt idx="67">
                  <c:v>113.09357511763859</c:v>
                </c:pt>
                <c:pt idx="68">
                  <c:v>112.34666787101989</c:v>
                </c:pt>
                <c:pt idx="69">
                  <c:v>111.60993906055232</c:v>
                </c:pt>
                <c:pt idx="70">
                  <c:v>110.88318203520618</c:v>
                </c:pt>
                <c:pt idx="71">
                  <c:v>110.16619570048096</c:v>
                </c:pt>
                <c:pt idx="72">
                  <c:v>109.45878433289404</c:v>
                </c:pt>
                <c:pt idx="73">
                  <c:v>108.76075740185246</c:v>
                </c:pt>
                <c:pt idx="74">
                  <c:v>108.07192939856716</c:v>
                </c:pt>
                <c:pt idx="75">
                  <c:v>107.39211967168676</c:v>
                </c:pt>
                <c:pt idx="76">
                  <c:v>106.72115226934496</c:v>
                </c:pt>
                <c:pt idx="77">
                  <c:v>106.05885578733198</c:v>
                </c:pt>
                <c:pt idx="78">
                  <c:v>105.40506322311421</c:v>
                </c:pt>
                <c:pt idx="79">
                  <c:v>104.75961183544109</c:v>
                </c:pt>
                <c:pt idx="80">
                  <c:v>104.12234300929168</c:v>
                </c:pt>
                <c:pt idx="81">
                  <c:v>103.49310212592493</c:v>
                </c:pt>
                <c:pt idx="82">
                  <c:v>102.87173843781054</c:v>
                </c:pt>
                <c:pt idx="83">
                  <c:v>102.25810494822741</c:v>
                </c:pt>
                <c:pt idx="84">
                  <c:v>101.65205829532812</c:v>
                </c:pt>
                <c:pt idx="85">
                  <c:v>101.05345864047723</c:v>
                </c:pt>
                <c:pt idx="86">
                  <c:v>100.46216956068054</c:v>
                </c:pt>
                <c:pt idx="87">
                  <c:v>99.878057944931754</c:v>
                </c:pt>
                <c:pt idx="88">
                  <c:v>99.300993894310935</c:v>
                </c:pt>
                <c:pt idx="89">
                  <c:v>98.730850625677434</c:v>
                </c:pt>
                <c:pt idx="90">
                  <c:v>98.167504378807223</c:v>
                </c:pt>
                <c:pt idx="91">
                  <c:v>97.610834326831565</c:v>
                </c:pt>
                <c:pt idx="92">
                  <c:v>97.060722489841453</c:v>
                </c:pt>
                <c:pt idx="93">
                  <c:v>96.517053651527306</c:v>
                </c:pt>
                <c:pt idx="94">
                  <c:v>95.979715278730851</c:v>
                </c:pt>
                <c:pt idx="95">
                  <c:v>95.448597443790888</c:v>
                </c:pt>
                <c:pt idx="96">
                  <c:v>94.923592749570389</c:v>
                </c:pt>
                <c:pt idx="97">
                  <c:v>94.404596257057591</c:v>
                </c:pt>
                <c:pt idx="98">
                  <c:v>93.891505415438729</c:v>
                </c:pt>
                <c:pt idx="99">
                  <c:v>93.38421999454404</c:v>
                </c:pt>
                <c:pt idx="100">
                  <c:v>92.882642019574249</c:v>
                </c:pt>
              </c:numCache>
            </c:numRef>
          </c:val>
          <c:smooth val="0"/>
        </c:ser>
        <c:ser>
          <c:idx val="2"/>
          <c:order val="2"/>
          <c:tx>
            <c:v>VIN-max</c:v>
          </c:tx>
          <c:spPr>
            <a:ln>
              <a:solidFill>
                <a:srgbClr val="FF0000"/>
              </a:solidFill>
              <a:prstDash val="solid"/>
            </a:ln>
          </c:spPr>
          <c:marker>
            <c:symbol val="none"/>
          </c:marker>
          <c:cat>
            <c:numRef>
              <c:f>'Calculations - Dual'!$BZ$5:$BZ$105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11.000000000000002</c:v>
                </c:pt>
                <c:pt idx="12">
                  <c:v>12</c:v>
                </c:pt>
                <c:pt idx="13">
                  <c:v>13</c:v>
                </c:pt>
                <c:pt idx="14">
                  <c:v>14.000000000000002</c:v>
                </c:pt>
                <c:pt idx="15">
                  <c:v>15</c:v>
                </c:pt>
                <c:pt idx="16">
                  <c:v>16</c:v>
                </c:pt>
                <c:pt idx="17">
                  <c:v>17</c:v>
                </c:pt>
                <c:pt idx="18">
                  <c:v>18</c:v>
                </c:pt>
                <c:pt idx="19">
                  <c:v>19</c:v>
                </c:pt>
                <c:pt idx="20">
                  <c:v>20</c:v>
                </c:pt>
                <c:pt idx="21">
                  <c:v>21.000000000000004</c:v>
                </c:pt>
                <c:pt idx="22">
                  <c:v>22.000000000000004</c:v>
                </c:pt>
                <c:pt idx="23">
                  <c:v>23.000000000000004</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42.000000000000007</c:v>
                </c:pt>
                <c:pt idx="43">
                  <c:v>43.000000000000007</c:v>
                </c:pt>
                <c:pt idx="44">
                  <c:v>44.000000000000007</c:v>
                </c:pt>
                <c:pt idx="45">
                  <c:v>45.000000000000007</c:v>
                </c:pt>
                <c:pt idx="46">
                  <c:v>46.000000000000007</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84.000000000000014</c:v>
                </c:pt>
                <c:pt idx="85">
                  <c:v>85.000000000000014</c:v>
                </c:pt>
                <c:pt idx="86">
                  <c:v>86.000000000000014</c:v>
                </c:pt>
                <c:pt idx="87">
                  <c:v>87.000000000000014</c:v>
                </c:pt>
                <c:pt idx="88">
                  <c:v>88.000000000000014</c:v>
                </c:pt>
                <c:pt idx="89">
                  <c:v>89.000000000000014</c:v>
                </c:pt>
                <c:pt idx="90">
                  <c:v>90.000000000000014</c:v>
                </c:pt>
                <c:pt idx="91">
                  <c:v>91.000000000000014</c:v>
                </c:pt>
                <c:pt idx="92">
                  <c:v>92.000000000000014</c:v>
                </c:pt>
                <c:pt idx="93">
                  <c:v>93.000000000000014</c:v>
                </c:pt>
                <c:pt idx="94">
                  <c:v>94</c:v>
                </c:pt>
                <c:pt idx="95">
                  <c:v>95</c:v>
                </c:pt>
                <c:pt idx="96">
                  <c:v>96</c:v>
                </c:pt>
                <c:pt idx="97">
                  <c:v>97</c:v>
                </c:pt>
                <c:pt idx="98">
                  <c:v>98</c:v>
                </c:pt>
                <c:pt idx="99">
                  <c:v>99</c:v>
                </c:pt>
                <c:pt idx="100">
                  <c:v>100</c:v>
                </c:pt>
              </c:numCache>
            </c:numRef>
          </c:cat>
          <c:val>
            <c:numRef>
              <c:f>'Calculations - Dual'!$AM$216:$AM$316</c:f>
              <c:numCache>
                <c:formatCode>0.0</c:formatCode>
                <c:ptCount val="101"/>
                <c:pt idx="0">
                  <c:v>10</c:v>
                </c:pt>
                <c:pt idx="1">
                  <c:v>27.199762187871581</c:v>
                </c:pt>
                <c:pt idx="2">
                  <c:v>54.399524375743162</c:v>
                </c:pt>
                <c:pt idx="3">
                  <c:v>81.599286563614726</c:v>
                </c:pt>
                <c:pt idx="4">
                  <c:v>108.79904875148632</c:v>
                </c:pt>
                <c:pt idx="5">
                  <c:v>135.9988109393579</c:v>
                </c:pt>
                <c:pt idx="6">
                  <c:v>163.19857312722945</c:v>
                </c:pt>
                <c:pt idx="7">
                  <c:v>190.39833531510109</c:v>
                </c:pt>
                <c:pt idx="8">
                  <c:v>217.59809750297265</c:v>
                </c:pt>
                <c:pt idx="9">
                  <c:v>244.79785969084423</c:v>
                </c:pt>
                <c:pt idx="10">
                  <c:v>271.99762187871579</c:v>
                </c:pt>
                <c:pt idx="11">
                  <c:v>299.1973840665874</c:v>
                </c:pt>
                <c:pt idx="12">
                  <c:v>326.3971462544589</c:v>
                </c:pt>
                <c:pt idx="13">
                  <c:v>350</c:v>
                </c:pt>
                <c:pt idx="14">
                  <c:v>350</c:v>
                </c:pt>
                <c:pt idx="15">
                  <c:v>350</c:v>
                </c:pt>
                <c:pt idx="16">
                  <c:v>350</c:v>
                </c:pt>
                <c:pt idx="17">
                  <c:v>350</c:v>
                </c:pt>
                <c:pt idx="18">
                  <c:v>350</c:v>
                </c:pt>
                <c:pt idx="19">
                  <c:v>350</c:v>
                </c:pt>
                <c:pt idx="20">
                  <c:v>350</c:v>
                </c:pt>
                <c:pt idx="21">
                  <c:v>350</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345.78203319246984</c:v>
                </c:pt>
                <c:pt idx="42">
                  <c:v>337.54912764026807</c:v>
                </c:pt>
                <c:pt idx="43">
                  <c:v>329.69914792770373</c:v>
                </c:pt>
                <c:pt idx="44">
                  <c:v>322.20598547480142</c:v>
                </c:pt>
                <c:pt idx="45">
                  <c:v>315.04585246425023</c:v>
                </c:pt>
                <c:pt idx="46">
                  <c:v>308.1970295845926</c:v>
                </c:pt>
                <c:pt idx="47">
                  <c:v>301.63964597640984</c:v>
                </c:pt>
                <c:pt idx="48">
                  <c:v>295.35548668523472</c:v>
                </c:pt>
                <c:pt idx="49">
                  <c:v>289.32782369165841</c:v>
                </c:pt>
                <c:pt idx="50">
                  <c:v>283.54126721782518</c:v>
                </c:pt>
                <c:pt idx="51">
                  <c:v>277.9816345272796</c:v>
                </c:pt>
                <c:pt idx="52">
                  <c:v>272.6358338632935</c:v>
                </c:pt>
                <c:pt idx="53">
                  <c:v>267.49176152625023</c:v>
                </c:pt>
                <c:pt idx="54">
                  <c:v>262.53821038687522</c:v>
                </c:pt>
                <c:pt idx="55">
                  <c:v>257.76478837984109</c:v>
                </c:pt>
                <c:pt idx="56">
                  <c:v>253.16184573020112</c:v>
                </c:pt>
                <c:pt idx="57">
                  <c:v>248.72040984019762</c:v>
                </c:pt>
                <c:pt idx="58">
                  <c:v>244.43212691191832</c:v>
                </c:pt>
                <c:pt idx="59">
                  <c:v>240.28920950663155</c:v>
                </c:pt>
                <c:pt idx="60">
                  <c:v>236.28438934818772</c:v>
                </c:pt>
                <c:pt idx="61">
                  <c:v>232.41087476870922</c:v>
                </c:pt>
                <c:pt idx="62">
                  <c:v>228.66231227243966</c:v>
                </c:pt>
                <c:pt idx="63">
                  <c:v>225.0327517601788</c:v>
                </c:pt>
                <c:pt idx="64">
                  <c:v>221.5166150139259</c:v>
                </c:pt>
                <c:pt idx="65">
                  <c:v>218.10866709063478</c:v>
                </c:pt>
                <c:pt idx="66">
                  <c:v>214.80399031653431</c:v>
                </c:pt>
                <c:pt idx="67">
                  <c:v>211.59796061031733</c:v>
                </c:pt>
                <c:pt idx="68">
                  <c:v>208.48622589545974</c:v>
                </c:pt>
                <c:pt idx="69">
                  <c:v>205.4646863897284</c:v>
                </c:pt>
                <c:pt idx="70">
                  <c:v>202.52947658416088</c:v>
                </c:pt>
                <c:pt idx="71">
                  <c:v>199.67694874494731</c:v>
                </c:pt>
                <c:pt idx="72">
                  <c:v>196.90365779015639</c:v>
                </c:pt>
                <c:pt idx="73">
                  <c:v>194.20634740946934</c:v>
                </c:pt>
                <c:pt idx="74">
                  <c:v>191.58193730934141</c:v>
                </c:pt>
                <c:pt idx="75">
                  <c:v>189.02751147855017</c:v>
                </c:pt>
                <c:pt idx="76">
                  <c:v>186.54030738014822</c:v>
                </c:pt>
                <c:pt idx="77">
                  <c:v>184.11770598560082</c:v>
                </c:pt>
                <c:pt idx="78">
                  <c:v>181.75722257552897</c:v>
                </c:pt>
                <c:pt idx="79">
                  <c:v>179.45649823912987</c:v>
                </c:pt>
                <c:pt idx="80">
                  <c:v>177.21329201114077</c:v>
                </c:pt>
                <c:pt idx="81">
                  <c:v>175.02547359125012</c:v>
                </c:pt>
                <c:pt idx="82">
                  <c:v>172.89101659623492</c:v>
                </c:pt>
                <c:pt idx="83">
                  <c:v>170.80799229989475</c:v>
                </c:pt>
                <c:pt idx="84">
                  <c:v>168.77456382013403</c:v>
                </c:pt>
                <c:pt idx="85">
                  <c:v>166.78898071636777</c:v>
                </c:pt>
                <c:pt idx="86">
                  <c:v>164.84957396385187</c:v>
                </c:pt>
                <c:pt idx="87">
                  <c:v>162.95475127461216</c:v>
                </c:pt>
                <c:pt idx="88">
                  <c:v>161.10299273740071</c:v>
                </c:pt>
                <c:pt idx="89">
                  <c:v>159.87967798367487</c:v>
                </c:pt>
                <c:pt idx="90">
                  <c:v>158.80309893493649</c:v>
                </c:pt>
                <c:pt idx="91">
                  <c:v>157.74131368118847</c:v>
                </c:pt>
                <c:pt idx="92">
                  <c:v>156.69401937017983</c:v>
                </c:pt>
                <c:pt idx="93">
                  <c:v>155.66092136011505</c:v>
                </c:pt>
                <c:pt idx="94">
                  <c:v>154.64173294329129</c:v>
                </c:pt>
                <c:pt idx="95">
                  <c:v>153.63617508082268</c:v>
                </c:pt>
                <c:pt idx="96">
                  <c:v>152.64397614793876</c:v>
                </c:pt>
                <c:pt idx="97">
                  <c:v>151.66487168936567</c:v>
                </c:pt>
                <c:pt idx="98">
                  <c:v>150.69860418433001</c:v>
                </c:pt>
                <c:pt idx="99">
                  <c:v>149.74492282074479</c:v>
                </c:pt>
                <c:pt idx="100">
                  <c:v>148.80358327816262</c:v>
                </c:pt>
              </c:numCache>
            </c:numRef>
          </c:val>
          <c:smooth val="0"/>
        </c:ser>
        <c:ser>
          <c:idx val="3"/>
          <c:order val="3"/>
          <c:spPr>
            <a:ln>
              <a:noFill/>
            </a:ln>
          </c:spPr>
          <c:marker>
            <c:symbol val="x"/>
            <c:size val="10"/>
            <c:spPr>
              <a:pattFill prst="pct5">
                <a:fgClr>
                  <a:schemeClr val="tx1"/>
                </a:fgClr>
                <a:bgClr>
                  <a:schemeClr val="bg1"/>
                </a:bgClr>
              </a:pattFill>
              <a:ln>
                <a:solidFill>
                  <a:srgbClr val="33CC33"/>
                </a:solidFill>
              </a:ln>
            </c:spPr>
          </c:marker>
          <c:cat>
            <c:numRef>
              <c:f>'Calculations - Dual'!$BZ$5:$BZ$105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11.000000000000002</c:v>
                </c:pt>
                <c:pt idx="12">
                  <c:v>12</c:v>
                </c:pt>
                <c:pt idx="13">
                  <c:v>13</c:v>
                </c:pt>
                <c:pt idx="14">
                  <c:v>14.000000000000002</c:v>
                </c:pt>
                <c:pt idx="15">
                  <c:v>15</c:v>
                </c:pt>
                <c:pt idx="16">
                  <c:v>16</c:v>
                </c:pt>
                <c:pt idx="17">
                  <c:v>17</c:v>
                </c:pt>
                <c:pt idx="18">
                  <c:v>18</c:v>
                </c:pt>
                <c:pt idx="19">
                  <c:v>19</c:v>
                </c:pt>
                <c:pt idx="20">
                  <c:v>20</c:v>
                </c:pt>
                <c:pt idx="21">
                  <c:v>21.000000000000004</c:v>
                </c:pt>
                <c:pt idx="22">
                  <c:v>22.000000000000004</c:v>
                </c:pt>
                <c:pt idx="23">
                  <c:v>23.000000000000004</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42.000000000000007</c:v>
                </c:pt>
                <c:pt idx="43">
                  <c:v>43.000000000000007</c:v>
                </c:pt>
                <c:pt idx="44">
                  <c:v>44.000000000000007</c:v>
                </c:pt>
                <c:pt idx="45">
                  <c:v>45.000000000000007</c:v>
                </c:pt>
                <c:pt idx="46">
                  <c:v>46.000000000000007</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84.000000000000014</c:v>
                </c:pt>
                <c:pt idx="85">
                  <c:v>85.000000000000014</c:v>
                </c:pt>
                <c:pt idx="86">
                  <c:v>86.000000000000014</c:v>
                </c:pt>
                <c:pt idx="87">
                  <c:v>87.000000000000014</c:v>
                </c:pt>
                <c:pt idx="88">
                  <c:v>88.000000000000014</c:v>
                </c:pt>
                <c:pt idx="89">
                  <c:v>89.000000000000014</c:v>
                </c:pt>
                <c:pt idx="90">
                  <c:v>90.000000000000014</c:v>
                </c:pt>
                <c:pt idx="91">
                  <c:v>91.000000000000014</c:v>
                </c:pt>
                <c:pt idx="92">
                  <c:v>92.000000000000014</c:v>
                </c:pt>
                <c:pt idx="93">
                  <c:v>93.000000000000014</c:v>
                </c:pt>
                <c:pt idx="94">
                  <c:v>94</c:v>
                </c:pt>
                <c:pt idx="95">
                  <c:v>95</c:v>
                </c:pt>
                <c:pt idx="96">
                  <c:v>96</c:v>
                </c:pt>
                <c:pt idx="97">
                  <c:v>97</c:v>
                </c:pt>
                <c:pt idx="98">
                  <c:v>98</c:v>
                </c:pt>
                <c:pt idx="99">
                  <c:v>99</c:v>
                </c:pt>
                <c:pt idx="100">
                  <c:v>100</c:v>
                </c:pt>
              </c:numCache>
            </c:numRef>
          </c:cat>
          <c:val>
            <c:numRef>
              <c:f>'Calculations - Dual'!$CB$110:$CB$210</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83.400116000578166</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ser>
        <c:ser>
          <c:idx val="4"/>
          <c:order val="4"/>
          <c:spPr>
            <a:ln>
              <a:noFill/>
            </a:ln>
          </c:spPr>
          <c:marker>
            <c:symbol val="x"/>
            <c:size val="10"/>
            <c:spPr>
              <a:pattFill prst="pct5">
                <a:fgClr>
                  <a:schemeClr val="tx1"/>
                </a:fgClr>
                <a:bgClr>
                  <a:schemeClr val="bg1"/>
                </a:bgClr>
              </a:pattFill>
              <a:ln>
                <a:solidFill>
                  <a:srgbClr val="0000FF"/>
                </a:solidFill>
              </a:ln>
            </c:spPr>
          </c:marker>
          <c:cat>
            <c:numRef>
              <c:f>'Calculations - Dual'!$BZ$5:$BZ$105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11.000000000000002</c:v>
                </c:pt>
                <c:pt idx="12">
                  <c:v>12</c:v>
                </c:pt>
                <c:pt idx="13">
                  <c:v>13</c:v>
                </c:pt>
                <c:pt idx="14">
                  <c:v>14.000000000000002</c:v>
                </c:pt>
                <c:pt idx="15">
                  <c:v>15</c:v>
                </c:pt>
                <c:pt idx="16">
                  <c:v>16</c:v>
                </c:pt>
                <c:pt idx="17">
                  <c:v>17</c:v>
                </c:pt>
                <c:pt idx="18">
                  <c:v>18</c:v>
                </c:pt>
                <c:pt idx="19">
                  <c:v>19</c:v>
                </c:pt>
                <c:pt idx="20">
                  <c:v>20</c:v>
                </c:pt>
                <c:pt idx="21">
                  <c:v>21.000000000000004</c:v>
                </c:pt>
                <c:pt idx="22">
                  <c:v>22.000000000000004</c:v>
                </c:pt>
                <c:pt idx="23">
                  <c:v>23.000000000000004</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42.000000000000007</c:v>
                </c:pt>
                <c:pt idx="43">
                  <c:v>43.000000000000007</c:v>
                </c:pt>
                <c:pt idx="44">
                  <c:v>44.000000000000007</c:v>
                </c:pt>
                <c:pt idx="45">
                  <c:v>45.000000000000007</c:v>
                </c:pt>
                <c:pt idx="46">
                  <c:v>46.000000000000007</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84.000000000000014</c:v>
                </c:pt>
                <c:pt idx="85">
                  <c:v>85.000000000000014</c:v>
                </c:pt>
                <c:pt idx="86">
                  <c:v>86.000000000000014</c:v>
                </c:pt>
                <c:pt idx="87">
                  <c:v>87.000000000000014</c:v>
                </c:pt>
                <c:pt idx="88">
                  <c:v>88.000000000000014</c:v>
                </c:pt>
                <c:pt idx="89">
                  <c:v>89.000000000000014</c:v>
                </c:pt>
                <c:pt idx="90">
                  <c:v>90.000000000000014</c:v>
                </c:pt>
                <c:pt idx="91">
                  <c:v>91.000000000000014</c:v>
                </c:pt>
                <c:pt idx="92">
                  <c:v>92.000000000000014</c:v>
                </c:pt>
                <c:pt idx="93">
                  <c:v>93.000000000000014</c:v>
                </c:pt>
                <c:pt idx="94">
                  <c:v>94</c:v>
                </c:pt>
                <c:pt idx="95">
                  <c:v>95</c:v>
                </c:pt>
                <c:pt idx="96">
                  <c:v>96</c:v>
                </c:pt>
                <c:pt idx="97">
                  <c:v>97</c:v>
                </c:pt>
                <c:pt idx="98">
                  <c:v>98</c:v>
                </c:pt>
                <c:pt idx="99">
                  <c:v>99</c:v>
                </c:pt>
                <c:pt idx="100">
                  <c:v>100</c:v>
                </c:pt>
              </c:numCache>
            </c:numRef>
          </c:cat>
          <c:val>
            <c:numRef>
              <c:f>'Calculations - Dual'!$CB$5:$CB$105</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94.404596257057591</c:v>
                </c:pt>
                <c:pt idx="98">
                  <c:v>-50</c:v>
                </c:pt>
                <c:pt idx="99">
                  <c:v>-50</c:v>
                </c:pt>
                <c:pt idx="100">
                  <c:v>-50</c:v>
                </c:pt>
              </c:numCache>
            </c:numRef>
          </c:val>
          <c:smooth val="0"/>
        </c:ser>
        <c:ser>
          <c:idx val="5"/>
          <c:order val="5"/>
          <c:spPr>
            <a:ln>
              <a:noFill/>
            </a:ln>
          </c:spPr>
          <c:marker>
            <c:symbol val="x"/>
            <c:size val="10"/>
            <c:spPr>
              <a:pattFill prst="pct5">
                <a:fgClr>
                  <a:schemeClr val="tx1"/>
                </a:fgClr>
                <a:bgClr>
                  <a:schemeClr val="bg1"/>
                </a:bgClr>
              </a:pattFill>
              <a:ln>
                <a:solidFill>
                  <a:srgbClr val="FF0000"/>
                </a:solidFill>
              </a:ln>
            </c:spPr>
          </c:marker>
          <c:cat>
            <c:numRef>
              <c:f>'Calculations - Dual'!$BZ$5:$BZ$105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11.000000000000002</c:v>
                </c:pt>
                <c:pt idx="12">
                  <c:v>12</c:v>
                </c:pt>
                <c:pt idx="13">
                  <c:v>13</c:v>
                </c:pt>
                <c:pt idx="14">
                  <c:v>14.000000000000002</c:v>
                </c:pt>
                <c:pt idx="15">
                  <c:v>15</c:v>
                </c:pt>
                <c:pt idx="16">
                  <c:v>16</c:v>
                </c:pt>
                <c:pt idx="17">
                  <c:v>17</c:v>
                </c:pt>
                <c:pt idx="18">
                  <c:v>18</c:v>
                </c:pt>
                <c:pt idx="19">
                  <c:v>19</c:v>
                </c:pt>
                <c:pt idx="20">
                  <c:v>20</c:v>
                </c:pt>
                <c:pt idx="21">
                  <c:v>21.000000000000004</c:v>
                </c:pt>
                <c:pt idx="22">
                  <c:v>22.000000000000004</c:v>
                </c:pt>
                <c:pt idx="23">
                  <c:v>23.000000000000004</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42.000000000000007</c:v>
                </c:pt>
                <c:pt idx="43">
                  <c:v>43.000000000000007</c:v>
                </c:pt>
                <c:pt idx="44">
                  <c:v>44.000000000000007</c:v>
                </c:pt>
                <c:pt idx="45">
                  <c:v>45.000000000000007</c:v>
                </c:pt>
                <c:pt idx="46">
                  <c:v>46.000000000000007</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84.000000000000014</c:v>
                </c:pt>
                <c:pt idx="85">
                  <c:v>85.000000000000014</c:v>
                </c:pt>
                <c:pt idx="86">
                  <c:v>86.000000000000014</c:v>
                </c:pt>
                <c:pt idx="87">
                  <c:v>87.000000000000014</c:v>
                </c:pt>
                <c:pt idx="88">
                  <c:v>88.000000000000014</c:v>
                </c:pt>
                <c:pt idx="89">
                  <c:v>89.000000000000014</c:v>
                </c:pt>
                <c:pt idx="90">
                  <c:v>90.000000000000014</c:v>
                </c:pt>
                <c:pt idx="91">
                  <c:v>91.000000000000014</c:v>
                </c:pt>
                <c:pt idx="92">
                  <c:v>92.000000000000014</c:v>
                </c:pt>
                <c:pt idx="93">
                  <c:v>93.000000000000014</c:v>
                </c:pt>
                <c:pt idx="94">
                  <c:v>94</c:v>
                </c:pt>
                <c:pt idx="95">
                  <c:v>95</c:v>
                </c:pt>
                <c:pt idx="96">
                  <c:v>96</c:v>
                </c:pt>
                <c:pt idx="97">
                  <c:v>97</c:v>
                </c:pt>
                <c:pt idx="98">
                  <c:v>98</c:v>
                </c:pt>
                <c:pt idx="99">
                  <c:v>99</c:v>
                </c:pt>
                <c:pt idx="100">
                  <c:v>100</c:v>
                </c:pt>
              </c:numCache>
            </c:numRef>
          </c:cat>
          <c:val>
            <c:numRef>
              <c:f>'Calculations - Dual'!$CB$216:$CB$316</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161.10299273740071</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ser>
        <c:dLbls>
          <c:showLegendKey val="0"/>
          <c:showVal val="0"/>
          <c:showCatName val="0"/>
          <c:showSerName val="0"/>
          <c:showPercent val="0"/>
          <c:showBubbleSize val="0"/>
        </c:dLbls>
        <c:marker val="1"/>
        <c:smooth val="0"/>
        <c:axId val="139453568"/>
        <c:axId val="139455872"/>
      </c:lineChart>
      <c:catAx>
        <c:axId val="139453568"/>
        <c:scaling>
          <c:orientation val="minMax"/>
        </c:scaling>
        <c:delete val="0"/>
        <c:axPos val="b"/>
        <c:majorGridlines>
          <c:spPr>
            <a:ln w="15875">
              <a:solidFill>
                <a:srgbClr val="969696"/>
              </a:solidFill>
              <a:prstDash val="sysDash"/>
            </a:ln>
          </c:spPr>
        </c:majorGridlines>
        <c:title>
          <c:tx>
            <c:rich>
              <a:bodyPr/>
              <a:lstStyle/>
              <a:p>
                <a:pPr>
                  <a:defRPr sz="1100" b="1" i="0" u="none" strike="noStrike" baseline="0">
                    <a:solidFill>
                      <a:schemeClr val="tx1"/>
                    </a:solidFill>
                    <a:latin typeface="Arial" pitchFamily="34" charset="0"/>
                    <a:ea typeface="Calibri"/>
                    <a:cs typeface="Arial" pitchFamily="34" charset="0"/>
                  </a:defRPr>
                </a:pPr>
                <a:r>
                  <a:rPr lang="en-US" sz="1600" b="1" i="0" baseline="0">
                    <a:effectLst/>
                  </a:rPr>
                  <a:t>% Total Rated Output Power</a:t>
                </a:r>
                <a:endParaRPr lang="en-US" sz="1100">
                  <a:effectLst/>
                </a:endParaRPr>
              </a:p>
            </c:rich>
          </c:tx>
          <c:layout>
            <c:manualLayout>
              <c:xMode val="edge"/>
              <c:yMode val="edge"/>
              <c:x val="0.38070688614495507"/>
              <c:y val="0.93853774450069472"/>
            </c:manualLayout>
          </c:layout>
          <c:overlay val="0"/>
          <c:spPr>
            <a:noFill/>
            <a:ln w="25400">
              <a:noFill/>
            </a:ln>
          </c:spPr>
        </c:title>
        <c:numFmt formatCode="General" sourceLinked="1"/>
        <c:majorTickMark val="in"/>
        <c:minorTickMark val="in"/>
        <c:tickLblPos val="nextTo"/>
        <c:spPr>
          <a:ln w="3175">
            <a:solidFill>
              <a:schemeClr val="tx1"/>
            </a:solidFill>
            <a:prstDash val="solid"/>
          </a:ln>
        </c:spPr>
        <c:txPr>
          <a:bodyPr rot="0" vert="horz"/>
          <a:lstStyle/>
          <a:p>
            <a:pPr>
              <a:defRPr sz="1400" b="1" i="0" u="none" strike="noStrike" baseline="0">
                <a:solidFill>
                  <a:schemeClr val="tx1"/>
                </a:solidFill>
                <a:latin typeface="Arial" pitchFamily="34" charset="0"/>
                <a:ea typeface="Calibri"/>
                <a:cs typeface="Arial" pitchFamily="34" charset="0"/>
              </a:defRPr>
            </a:pPr>
            <a:endParaRPr lang="ko-KR"/>
          </a:p>
        </c:txPr>
        <c:crossAx val="139455872"/>
        <c:crosses val="autoZero"/>
        <c:auto val="1"/>
        <c:lblAlgn val="ctr"/>
        <c:lblOffset val="100"/>
        <c:tickLblSkip val="20"/>
        <c:tickMarkSkip val="10"/>
        <c:noMultiLvlLbl val="0"/>
      </c:catAx>
      <c:valAx>
        <c:axId val="139455872"/>
        <c:scaling>
          <c:orientation val="minMax"/>
          <c:max val="400"/>
          <c:min val="0"/>
        </c:scaling>
        <c:delete val="0"/>
        <c:axPos val="l"/>
        <c:majorGridlines>
          <c:spPr>
            <a:ln w="15875">
              <a:solidFill>
                <a:srgbClr val="808080"/>
              </a:solidFill>
              <a:prstDash val="solid"/>
            </a:ln>
          </c:spPr>
        </c:majorGridlines>
        <c:title>
          <c:tx>
            <c:rich>
              <a:bodyPr/>
              <a:lstStyle/>
              <a:p>
                <a:pPr>
                  <a:defRPr sz="1600" b="1" i="0" u="none" strike="noStrike" baseline="0">
                    <a:solidFill>
                      <a:schemeClr val="tx1"/>
                    </a:solidFill>
                    <a:latin typeface="Arial" pitchFamily="34" charset="0"/>
                    <a:ea typeface="Calibri"/>
                    <a:cs typeface="Arial" pitchFamily="34" charset="0"/>
                  </a:defRPr>
                </a:pPr>
                <a:r>
                  <a:rPr lang="en-US" sz="1600" b="1">
                    <a:solidFill>
                      <a:schemeClr val="tx1"/>
                    </a:solidFill>
                    <a:latin typeface="Arial" pitchFamily="34" charset="0"/>
                    <a:cs typeface="Arial" pitchFamily="34" charset="0"/>
                  </a:rPr>
                  <a:t>Switching</a:t>
                </a:r>
                <a:r>
                  <a:rPr lang="en-US" sz="1600" b="1" baseline="0">
                    <a:solidFill>
                      <a:schemeClr val="tx1"/>
                    </a:solidFill>
                    <a:latin typeface="Arial" pitchFamily="34" charset="0"/>
                    <a:cs typeface="Arial" pitchFamily="34" charset="0"/>
                  </a:rPr>
                  <a:t> Frquency (kHz)</a:t>
                </a:r>
                <a:endParaRPr lang="en-US" sz="1600" b="1">
                  <a:solidFill>
                    <a:schemeClr val="tx1"/>
                  </a:solidFill>
                  <a:latin typeface="Arial" pitchFamily="34" charset="0"/>
                  <a:cs typeface="Arial" pitchFamily="34" charset="0"/>
                </a:endParaRPr>
              </a:p>
            </c:rich>
          </c:tx>
          <c:layout>
            <c:manualLayout>
              <c:xMode val="edge"/>
              <c:yMode val="edge"/>
              <c:x val="8.5568128125503556E-3"/>
              <c:y val="0.22463146285493288"/>
            </c:manualLayout>
          </c:layout>
          <c:overlay val="0"/>
          <c:spPr>
            <a:noFill/>
            <a:ln w="25400">
              <a:noFill/>
            </a:ln>
          </c:spPr>
        </c:title>
        <c:numFmt formatCode="#,##0" sourceLinked="0"/>
        <c:majorTickMark val="in"/>
        <c:minorTickMark val="in"/>
        <c:tickLblPos val="nextTo"/>
        <c:spPr>
          <a:ln w="3175">
            <a:solidFill>
              <a:srgbClr val="000000"/>
            </a:solidFill>
            <a:prstDash val="solid"/>
          </a:ln>
        </c:spPr>
        <c:txPr>
          <a:bodyPr rot="0" vert="horz"/>
          <a:lstStyle/>
          <a:p>
            <a:pPr>
              <a:defRPr sz="1600" b="1" i="0" u="none" strike="noStrike" baseline="0">
                <a:solidFill>
                  <a:schemeClr val="tx1"/>
                </a:solidFill>
                <a:latin typeface="Arial" pitchFamily="34" charset="0"/>
                <a:ea typeface="Calibri"/>
                <a:cs typeface="Arial" pitchFamily="34" charset="0"/>
              </a:defRPr>
            </a:pPr>
            <a:endParaRPr lang="ko-KR"/>
          </a:p>
        </c:txPr>
        <c:crossAx val="139453568"/>
        <c:crossesAt val="0"/>
        <c:crossBetween val="between"/>
        <c:majorUnit val="50"/>
        <c:minorUnit val="25"/>
      </c:valAx>
      <c:spPr>
        <a:noFill/>
        <a:ln w="25400">
          <a:noFill/>
        </a:ln>
      </c:spPr>
    </c:plotArea>
    <c:legend>
      <c:legendPos val="t"/>
      <c:legendEntry>
        <c:idx val="9"/>
        <c:delete val="1"/>
      </c:legendEntry>
      <c:legendEntry>
        <c:idx val="10"/>
        <c:delete val="1"/>
      </c:legendEntry>
      <c:legendEntry>
        <c:idx val="11"/>
        <c:delete val="1"/>
      </c:legendEntry>
      <c:layout>
        <c:manualLayout>
          <c:xMode val="edge"/>
          <c:yMode val="edge"/>
          <c:x val="0.31430722044239789"/>
          <c:y val="1.5175029628150039E-2"/>
          <c:w val="0.42410841724909248"/>
          <c:h val="5.4335766847817754E-2"/>
        </c:manualLayout>
      </c:layout>
      <c:overlay val="0"/>
      <c:spPr>
        <a:solidFill>
          <a:srgbClr val="FFFFFF"/>
        </a:solidFill>
        <a:ln w="25400">
          <a:noFill/>
        </a:ln>
      </c:spPr>
      <c:txPr>
        <a:bodyPr/>
        <a:lstStyle/>
        <a:p>
          <a:pPr>
            <a:defRPr sz="1400" b="0" i="0" u="none" strike="noStrike" baseline="0">
              <a:solidFill>
                <a:srgbClr val="000000"/>
              </a:solidFill>
              <a:latin typeface="Arial" pitchFamily="34" charset="0"/>
              <a:ea typeface="Calibri"/>
              <a:cs typeface="Arial" pitchFamily="34" charset="0"/>
            </a:defRPr>
          </a:pPr>
          <a:endParaRPr lang="ko-KR"/>
        </a:p>
      </c:txPr>
    </c:legend>
    <c:plotVisOnly val="1"/>
    <c:dispBlanksAs val="gap"/>
    <c:showDLblsOverMax val="0"/>
  </c:chart>
  <c:spPr>
    <a:solidFill>
      <a:srgbClr val="FFFFFF"/>
    </a:solidFill>
    <a:ln w="9525">
      <a:noFill/>
    </a:ln>
  </c:spPr>
  <c:txPr>
    <a:bodyPr/>
    <a:lstStyle/>
    <a:p>
      <a:pPr>
        <a:defRPr sz="850" b="0" i="0" u="none" strike="noStrike" baseline="0">
          <a:solidFill>
            <a:srgbClr val="000000"/>
          </a:solidFill>
          <a:latin typeface="Arial"/>
          <a:ea typeface="Arial"/>
          <a:cs typeface="Arial"/>
        </a:defRPr>
      </a:pPr>
      <a:endParaRPr lang="ko-KR"/>
    </a:p>
  </c:txPr>
  <c:printSettings>
    <c:headerFooter alignWithMargins="0"/>
    <c:pageMargins b="1" l="0.750000000000006" r="0.750000000000006" t="1" header="0.5" footer="0.5"/>
    <c:pageSetup paperSize="5" orientation="portrait"/>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ko-K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25" b="1" i="0" u="none" strike="noStrike" baseline="0">
                <a:solidFill>
                  <a:srgbClr val="000000"/>
                </a:solidFill>
                <a:latin typeface="Arial"/>
                <a:ea typeface="Arial"/>
                <a:cs typeface="Arial"/>
              </a:defRPr>
            </a:pPr>
            <a:r>
              <a:rPr lang="en-US"/>
              <a:t>FSW</a:t>
            </a:r>
            <a:r>
              <a:rPr lang="en-US" baseline="0"/>
              <a:t> vs. VIN</a:t>
            </a:r>
            <a:endParaRPr lang="en-US"/>
          </a:p>
        </c:rich>
      </c:tx>
      <c:layout>
        <c:manualLayout>
          <c:xMode val="edge"/>
          <c:yMode val="edge"/>
          <c:x val="0.46949559660480134"/>
          <c:y val="4.3950758924335628E-2"/>
        </c:manualLayout>
      </c:layout>
      <c:overlay val="0"/>
      <c:spPr>
        <a:noFill/>
        <a:ln w="25400">
          <a:noFill/>
        </a:ln>
      </c:spPr>
    </c:title>
    <c:autoTitleDeleted val="0"/>
    <c:plotArea>
      <c:layout>
        <c:manualLayout>
          <c:layoutTarget val="inner"/>
          <c:xMode val="edge"/>
          <c:yMode val="edge"/>
          <c:x val="0.11549893842887474"/>
          <c:y val="0.12692138023914851"/>
          <c:w val="0.81825902335456679"/>
          <c:h val="0.73598262282121851"/>
        </c:manualLayout>
      </c:layout>
      <c:scatterChart>
        <c:scatterStyle val="lineMarker"/>
        <c:varyColors val="0"/>
        <c:ser>
          <c:idx val="2"/>
          <c:order val="0"/>
          <c:tx>
            <c:strRef>
              <c:f>'Fsw vs VIN'!$M$5</c:f>
              <c:strCache>
                <c:ptCount val="1"/>
                <c:pt idx="0">
                  <c:v>Fsw-BCM (kHz) at Iout-max</c:v>
                </c:pt>
              </c:strCache>
            </c:strRef>
          </c:tx>
          <c:spPr>
            <a:ln w="25400">
              <a:solidFill>
                <a:srgbClr val="000080"/>
              </a:solidFill>
              <a:prstDash val="solid"/>
            </a:ln>
          </c:spPr>
          <c:marker>
            <c:symbol val="none"/>
          </c:marker>
          <c:xVal>
            <c:numRef>
              <c:f>'Fsw vs VIN'!$D$6:$D$106</c:f>
              <c:numCache>
                <c:formatCode>0.00</c:formatCode>
                <c:ptCount val="101"/>
                <c:pt idx="0">
                  <c:v>7</c:v>
                </c:pt>
                <c:pt idx="1">
                  <c:v>7.17</c:v>
                </c:pt>
                <c:pt idx="2">
                  <c:v>7.34</c:v>
                </c:pt>
                <c:pt idx="3">
                  <c:v>7.51</c:v>
                </c:pt>
                <c:pt idx="4">
                  <c:v>7.68</c:v>
                </c:pt>
                <c:pt idx="5">
                  <c:v>7.85</c:v>
                </c:pt>
                <c:pt idx="6">
                  <c:v>8.02</c:v>
                </c:pt>
                <c:pt idx="7">
                  <c:v>8.19</c:v>
                </c:pt>
                <c:pt idx="8">
                  <c:v>8.36</c:v>
                </c:pt>
                <c:pt idx="9">
                  <c:v>8.5299999999999994</c:v>
                </c:pt>
                <c:pt idx="10">
                  <c:v>8.6999999999999993</c:v>
                </c:pt>
                <c:pt idx="11">
                  <c:v>8.870000000000001</c:v>
                </c:pt>
                <c:pt idx="12">
                  <c:v>9.0399999999999991</c:v>
                </c:pt>
                <c:pt idx="13">
                  <c:v>9.2100000000000009</c:v>
                </c:pt>
                <c:pt idx="14">
                  <c:v>9.3800000000000008</c:v>
                </c:pt>
                <c:pt idx="15">
                  <c:v>9.5500000000000007</c:v>
                </c:pt>
                <c:pt idx="16">
                  <c:v>9.7200000000000006</c:v>
                </c:pt>
                <c:pt idx="17">
                  <c:v>9.89</c:v>
                </c:pt>
                <c:pt idx="18">
                  <c:v>10.06</c:v>
                </c:pt>
                <c:pt idx="19">
                  <c:v>10.23</c:v>
                </c:pt>
                <c:pt idx="20">
                  <c:v>10.4</c:v>
                </c:pt>
                <c:pt idx="21">
                  <c:v>10.57</c:v>
                </c:pt>
                <c:pt idx="22">
                  <c:v>10.74</c:v>
                </c:pt>
                <c:pt idx="23">
                  <c:v>10.91</c:v>
                </c:pt>
                <c:pt idx="24">
                  <c:v>11.08</c:v>
                </c:pt>
                <c:pt idx="25">
                  <c:v>11.25</c:v>
                </c:pt>
                <c:pt idx="26">
                  <c:v>11.42</c:v>
                </c:pt>
                <c:pt idx="27">
                  <c:v>11.59</c:v>
                </c:pt>
                <c:pt idx="28">
                  <c:v>11.760000000000002</c:v>
                </c:pt>
                <c:pt idx="29">
                  <c:v>11.93</c:v>
                </c:pt>
                <c:pt idx="30">
                  <c:v>12.1</c:v>
                </c:pt>
                <c:pt idx="31">
                  <c:v>12.27</c:v>
                </c:pt>
                <c:pt idx="32">
                  <c:v>12.440000000000001</c:v>
                </c:pt>
                <c:pt idx="33">
                  <c:v>12.61</c:v>
                </c:pt>
                <c:pt idx="34">
                  <c:v>12.780000000000001</c:v>
                </c:pt>
                <c:pt idx="35">
                  <c:v>12.95</c:v>
                </c:pt>
                <c:pt idx="36">
                  <c:v>13.120000000000001</c:v>
                </c:pt>
                <c:pt idx="37">
                  <c:v>13.29</c:v>
                </c:pt>
                <c:pt idx="38">
                  <c:v>13.46</c:v>
                </c:pt>
                <c:pt idx="39">
                  <c:v>13.629999999999999</c:v>
                </c:pt>
                <c:pt idx="40">
                  <c:v>13.8</c:v>
                </c:pt>
                <c:pt idx="41">
                  <c:v>13.969999999999999</c:v>
                </c:pt>
                <c:pt idx="42">
                  <c:v>14.14</c:v>
                </c:pt>
                <c:pt idx="43">
                  <c:v>14.309999999999999</c:v>
                </c:pt>
                <c:pt idx="44">
                  <c:v>14.48</c:v>
                </c:pt>
                <c:pt idx="45">
                  <c:v>14.65</c:v>
                </c:pt>
                <c:pt idx="46">
                  <c:v>14.82</c:v>
                </c:pt>
                <c:pt idx="47">
                  <c:v>14.989999999999998</c:v>
                </c:pt>
                <c:pt idx="48">
                  <c:v>15.16</c:v>
                </c:pt>
                <c:pt idx="49">
                  <c:v>15.33</c:v>
                </c:pt>
                <c:pt idx="50">
                  <c:v>15.5</c:v>
                </c:pt>
                <c:pt idx="51">
                  <c:v>15.67</c:v>
                </c:pt>
                <c:pt idx="52">
                  <c:v>15.84</c:v>
                </c:pt>
                <c:pt idx="53">
                  <c:v>16.009999999999998</c:v>
                </c:pt>
                <c:pt idx="54">
                  <c:v>16.18</c:v>
                </c:pt>
                <c:pt idx="55">
                  <c:v>16.350000000000001</c:v>
                </c:pt>
                <c:pt idx="56">
                  <c:v>16.520000000000003</c:v>
                </c:pt>
                <c:pt idx="57">
                  <c:v>16.689999999999998</c:v>
                </c:pt>
                <c:pt idx="58">
                  <c:v>16.86</c:v>
                </c:pt>
                <c:pt idx="59">
                  <c:v>17.03</c:v>
                </c:pt>
                <c:pt idx="60">
                  <c:v>17.2</c:v>
                </c:pt>
                <c:pt idx="61">
                  <c:v>17.369999999999997</c:v>
                </c:pt>
                <c:pt idx="62">
                  <c:v>17.54</c:v>
                </c:pt>
                <c:pt idx="63">
                  <c:v>17.71</c:v>
                </c:pt>
                <c:pt idx="64">
                  <c:v>17.880000000000003</c:v>
                </c:pt>
                <c:pt idx="65">
                  <c:v>18.05</c:v>
                </c:pt>
                <c:pt idx="66">
                  <c:v>18.22</c:v>
                </c:pt>
                <c:pt idx="67">
                  <c:v>18.39</c:v>
                </c:pt>
                <c:pt idx="68">
                  <c:v>18.560000000000002</c:v>
                </c:pt>
                <c:pt idx="69">
                  <c:v>18.729999999999997</c:v>
                </c:pt>
                <c:pt idx="70">
                  <c:v>18.899999999999999</c:v>
                </c:pt>
                <c:pt idx="71">
                  <c:v>19.07</c:v>
                </c:pt>
                <c:pt idx="72">
                  <c:v>19.240000000000002</c:v>
                </c:pt>
                <c:pt idx="73">
                  <c:v>19.41</c:v>
                </c:pt>
                <c:pt idx="74">
                  <c:v>19.579999999999998</c:v>
                </c:pt>
                <c:pt idx="75">
                  <c:v>19.75</c:v>
                </c:pt>
                <c:pt idx="76">
                  <c:v>19.920000000000002</c:v>
                </c:pt>
                <c:pt idx="77">
                  <c:v>20.09</c:v>
                </c:pt>
                <c:pt idx="78">
                  <c:v>20.259999999999998</c:v>
                </c:pt>
                <c:pt idx="79">
                  <c:v>20.43</c:v>
                </c:pt>
                <c:pt idx="80">
                  <c:v>20.6</c:v>
                </c:pt>
                <c:pt idx="81">
                  <c:v>20.770000000000003</c:v>
                </c:pt>
                <c:pt idx="82">
                  <c:v>20.939999999999998</c:v>
                </c:pt>
                <c:pt idx="83">
                  <c:v>21.11</c:v>
                </c:pt>
                <c:pt idx="84">
                  <c:v>21.28</c:v>
                </c:pt>
                <c:pt idx="85">
                  <c:v>21.45</c:v>
                </c:pt>
                <c:pt idx="86">
                  <c:v>21.619999999999997</c:v>
                </c:pt>
                <c:pt idx="87">
                  <c:v>21.79</c:v>
                </c:pt>
                <c:pt idx="88">
                  <c:v>21.96</c:v>
                </c:pt>
                <c:pt idx="89">
                  <c:v>22.130000000000003</c:v>
                </c:pt>
                <c:pt idx="90">
                  <c:v>22.3</c:v>
                </c:pt>
                <c:pt idx="91">
                  <c:v>22.47</c:v>
                </c:pt>
                <c:pt idx="92">
                  <c:v>22.64</c:v>
                </c:pt>
                <c:pt idx="93">
                  <c:v>22.810000000000002</c:v>
                </c:pt>
                <c:pt idx="94">
                  <c:v>22.979999999999997</c:v>
                </c:pt>
                <c:pt idx="95">
                  <c:v>23.15</c:v>
                </c:pt>
                <c:pt idx="96">
                  <c:v>23.32</c:v>
                </c:pt>
                <c:pt idx="97">
                  <c:v>23.49</c:v>
                </c:pt>
                <c:pt idx="98">
                  <c:v>23.66</c:v>
                </c:pt>
                <c:pt idx="99">
                  <c:v>23.83</c:v>
                </c:pt>
                <c:pt idx="100">
                  <c:v>24</c:v>
                </c:pt>
              </c:numCache>
            </c:numRef>
          </c:xVal>
          <c:yVal>
            <c:numRef>
              <c:f>'Fsw vs VIN'!$M$6:$M$106</c:f>
              <c:numCache>
                <c:formatCode>0.0</c:formatCode>
                <c:ptCount val="101"/>
                <c:pt idx="0">
                  <c:v>88.847274240532656</c:v>
                </c:pt>
                <c:pt idx="1">
                  <c:v>90.314946971949652</c:v>
                </c:pt>
                <c:pt idx="2">
                  <c:v>91.760529896873422</c:v>
                </c:pt>
                <c:pt idx="3">
                  <c:v>93.18451799778687</c:v>
                </c:pt>
                <c:pt idx="4">
                  <c:v>94.587391578233252</c:v>
                </c:pt>
                <c:pt idx="5">
                  <c:v>95.969616802950128</c:v>
                </c:pt>
                <c:pt idx="6">
                  <c:v>97.331646214327762</c:v>
                </c:pt>
                <c:pt idx="7">
                  <c:v>98.673919226393622</c:v>
                </c:pt>
                <c:pt idx="8">
                  <c:v>99.996862597455561</c:v>
                </c:pt>
                <c:pt idx="9">
                  <c:v>101.30089088247202</c:v>
                </c:pt>
                <c:pt idx="10">
                  <c:v>102.58640686615634</c:v>
                </c:pt>
                <c:pt idx="11">
                  <c:v>103.8538019777655</c:v>
                </c:pt>
                <c:pt idx="12">
                  <c:v>105.10345668847108</c:v>
                </c:pt>
                <c:pt idx="13">
                  <c:v>106.33574089215952</c:v>
                </c:pt>
                <c:pt idx="14">
                  <c:v>107.5510142704621</c:v>
                </c:pt>
                <c:pt idx="15">
                  <c:v>108.74962664277182</c:v>
                </c:pt>
                <c:pt idx="16">
                  <c:v>109.93191830196234</c:v>
                </c:pt>
                <c:pt idx="17">
                  <c:v>111.09822033648605</c:v>
                </c:pt>
                <c:pt idx="18">
                  <c:v>112.24885493949105</c:v>
                </c:pt>
                <c:pt idx="19">
                  <c:v>113.38413570556428</c:v>
                </c:pt>
                <c:pt idx="20">
                  <c:v>114.50436791567394</c:v>
                </c:pt>
                <c:pt idx="21">
                  <c:v>115.60984881085577</c:v>
                </c:pt>
                <c:pt idx="22">
                  <c:v>116.70086785515795</c:v>
                </c:pt>
                <c:pt idx="23">
                  <c:v>117.77770698833389</c:v>
                </c:pt>
                <c:pt idx="24">
                  <c:v>118.84064086874568</c:v>
                </c:pt>
                <c:pt idx="25">
                  <c:v>119.88993710691823</c:v>
                </c:pt>
                <c:pt idx="26">
                  <c:v>120.92585649016094</c:v>
                </c:pt>
                <c:pt idx="27">
                  <c:v>121.94865319865318</c:v>
                </c:pt>
                <c:pt idx="28">
                  <c:v>122.95857501336954</c:v>
                </c:pt>
                <c:pt idx="29">
                  <c:v>123.95586351620199</c:v>
                </c:pt>
                <c:pt idx="30">
                  <c:v>124.94075428261895</c:v>
                </c:pt>
                <c:pt idx="31">
                  <c:v>125.91347706718345</c:v>
                </c:pt>
                <c:pt idx="32">
                  <c:v>126.8742559822372</c:v>
                </c:pt>
                <c:pt idx="33">
                  <c:v>127.82330967004333</c:v>
                </c:pt>
                <c:pt idx="34">
                  <c:v>128.76085146866453</c:v>
                </c:pt>
                <c:pt idx="35">
                  <c:v>129.68708957184134</c:v>
                </c:pt>
                <c:pt idx="36">
                  <c:v>130.60222718312247</c:v>
                </c:pt>
                <c:pt idx="37">
                  <c:v>131.50646266448646</c:v>
                </c:pt>
                <c:pt idx="38">
                  <c:v>132.39998967968316</c:v>
                </c:pt>
                <c:pt idx="39">
                  <c:v>133.28299733251256</c:v>
                </c:pt>
                <c:pt idx="40">
                  <c:v>134.1556703002486</c:v>
                </c:pt>
                <c:pt idx="41">
                  <c:v>135.01818896240525</c:v>
                </c:pt>
                <c:pt idx="42">
                  <c:v>135.87072952503368</c:v>
                </c:pt>
                <c:pt idx="43">
                  <c:v>136.71346414073068</c:v>
                </c:pt>
                <c:pt idx="44">
                  <c:v>137.91992151812775</c:v>
                </c:pt>
                <c:pt idx="45">
                  <c:v>139.57658515075332</c:v>
                </c:pt>
                <c:pt idx="46">
                  <c:v>141.2242402828164</c:v>
                </c:pt>
                <c:pt idx="47">
                  <c:v>142.86287578081803</c:v>
                </c:pt>
                <c:pt idx="48">
                  <c:v>144.49248438608552</c:v>
                </c:pt>
                <c:pt idx="49">
                  <c:v>146.11306250684393</c:v>
                </c:pt>
                <c:pt idx="50">
                  <c:v>147.72461002049045</c:v>
                </c:pt>
                <c:pt idx="51">
                  <c:v>149.32713008555336</c:v>
                </c:pt>
                <c:pt idx="52">
                  <c:v>150.92062896284367</c:v>
                </c:pt>
                <c:pt idx="53">
                  <c:v>152.50511584533513</c:v>
                </c:pt>
                <c:pt idx="54">
                  <c:v>154.08060269633415</c:v>
                </c:pt>
                <c:pt idx="55">
                  <c:v>155.64710409552256</c:v>
                </c:pt>
                <c:pt idx="56">
                  <c:v>157.2046370924796</c:v>
                </c:pt>
                <c:pt idx="57">
                  <c:v>158.7532210673121</c:v>
                </c:pt>
                <c:pt idx="58">
                  <c:v>160.29287759803796</c:v>
                </c:pt>
                <c:pt idx="59">
                  <c:v>161.82363033438918</c:v>
                </c:pt>
                <c:pt idx="60">
                  <c:v>163.3455048777187</c:v>
                </c:pt>
                <c:pt idx="61">
                  <c:v>164.85852866670942</c:v>
                </c:pt>
                <c:pt idx="62">
                  <c:v>166.36273086860191</c:v>
                </c:pt>
                <c:pt idx="63">
                  <c:v>167.85814227567045</c:v>
                </c:pt>
                <c:pt idx="64">
                  <c:v>169.344795206692</c:v>
                </c:pt>
                <c:pt idx="65">
                  <c:v>170.82272341316548</c:v>
                </c:pt>
                <c:pt idx="66">
                  <c:v>172.29196199005054</c:v>
                </c:pt>
                <c:pt idx="67">
                  <c:v>173.75254729080893</c:v>
                </c:pt>
                <c:pt idx="68">
                  <c:v>175.20451684653906</c:v>
                </c:pt>
                <c:pt idx="69">
                  <c:v>176.64790928900896</c:v>
                </c:pt>
                <c:pt idx="70">
                  <c:v>178.08276427739986</c:v>
                </c:pt>
                <c:pt idx="71">
                  <c:v>179.50912242858331</c:v>
                </c:pt>
                <c:pt idx="72">
                  <c:v>180.92702525076288</c:v>
                </c:pt>
                <c:pt idx="73">
                  <c:v>182.33651508032113</c:v>
                </c:pt>
                <c:pt idx="74">
                  <c:v>183.73763502171946</c:v>
                </c:pt>
                <c:pt idx="75">
                  <c:v>185.13042889030612</c:v>
                </c:pt>
                <c:pt idx="76">
                  <c:v>186.51494115789512</c:v>
                </c:pt>
                <c:pt idx="77">
                  <c:v>187.89121690098591</c:v>
                </c:pt>
                <c:pt idx="78">
                  <c:v>189.25930175149873</c:v>
                </c:pt>
                <c:pt idx="79">
                  <c:v>190.61924184990852</c:v>
                </c:pt>
                <c:pt idx="80">
                  <c:v>191.9710838006649</c:v>
                </c:pt>
                <c:pt idx="81">
                  <c:v>193.31487462979038</c:v>
                </c:pt>
                <c:pt idx="82">
                  <c:v>194.65066174455671</c:v>
                </c:pt>
                <c:pt idx="83">
                  <c:v>195.97849289514178</c:v>
                </c:pt>
                <c:pt idx="84">
                  <c:v>197.29841613817439</c:v>
                </c:pt>
                <c:pt idx="85">
                  <c:v>198.61047980208107</c:v>
                </c:pt>
                <c:pt idx="86">
                  <c:v>199.91473245414932</c:v>
                </c:pt>
                <c:pt idx="87">
                  <c:v>201.21122286922969</c:v>
                </c:pt>
                <c:pt idx="88">
                  <c:v>202.5</c:v>
                </c:pt>
                <c:pt idx="89">
                  <c:v>203.78111294871971</c:v>
                </c:pt>
                <c:pt idx="90">
                  <c:v>205.05461094040618</c:v>
                </c:pt>
                <c:pt idx="91">
                  <c:v>206.32054329736732</c:v>
                </c:pt>
                <c:pt idx="92">
                  <c:v>207.57895941502812</c:v>
                </c:pt>
                <c:pt idx="93">
                  <c:v>208.82990873899155</c:v>
                </c:pt>
                <c:pt idx="94">
                  <c:v>210.0734407432771</c:v>
                </c:pt>
                <c:pt idx="95">
                  <c:v>211.30960490968496</c:v>
                </c:pt>
                <c:pt idx="96">
                  <c:v>212.5384507082301</c:v>
                </c:pt>
                <c:pt idx="97">
                  <c:v>213.76002757860266</c:v>
                </c:pt>
                <c:pt idx="98">
                  <c:v>214.97438491260272</c:v>
                </c:pt>
                <c:pt idx="99">
                  <c:v>216.18157203750815</c:v>
                </c:pt>
                <c:pt idx="100">
                  <c:v>217.38163820033265</c:v>
                </c:pt>
              </c:numCache>
            </c:numRef>
          </c:yVal>
          <c:smooth val="0"/>
        </c:ser>
        <c:dLbls>
          <c:showLegendKey val="0"/>
          <c:showVal val="0"/>
          <c:showCatName val="0"/>
          <c:showSerName val="0"/>
          <c:showPercent val="0"/>
          <c:showBubbleSize val="0"/>
        </c:dLbls>
        <c:axId val="139522816"/>
        <c:axId val="139524736"/>
      </c:scatterChart>
      <c:valAx>
        <c:axId val="139522816"/>
        <c:scaling>
          <c:orientation val="minMax"/>
        </c:scaling>
        <c:delete val="0"/>
        <c:axPos val="b"/>
        <c:majorGridlines/>
        <c:title>
          <c:tx>
            <c:rich>
              <a:bodyPr/>
              <a:lstStyle/>
              <a:p>
                <a:pPr>
                  <a:defRPr sz="1100" b="1" i="0" u="none" strike="noStrike" baseline="0">
                    <a:solidFill>
                      <a:srgbClr val="000000"/>
                    </a:solidFill>
                    <a:latin typeface="Arial"/>
                    <a:ea typeface="Arial"/>
                    <a:cs typeface="Arial"/>
                  </a:defRPr>
                </a:pPr>
                <a:r>
                  <a:rPr lang="en-US" sz="1100"/>
                  <a:t>VIN (V)</a:t>
                </a:r>
              </a:p>
            </c:rich>
          </c:tx>
          <c:layout>
            <c:manualLayout>
              <c:xMode val="edge"/>
              <c:yMode val="edge"/>
              <c:x val="0.48841805795509147"/>
              <c:y val="0.92812222977001757"/>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75" b="1" i="0" u="none" strike="noStrike" baseline="0">
                <a:solidFill>
                  <a:srgbClr val="000000"/>
                </a:solidFill>
                <a:latin typeface="Arial"/>
                <a:ea typeface="Arial"/>
                <a:cs typeface="Arial"/>
              </a:defRPr>
            </a:pPr>
            <a:endParaRPr lang="ko-KR"/>
          </a:p>
        </c:txPr>
        <c:crossAx val="139524736"/>
        <c:crosses val="autoZero"/>
        <c:crossBetween val="midCat"/>
      </c:valAx>
      <c:valAx>
        <c:axId val="139524736"/>
        <c:scaling>
          <c:orientation val="minMax"/>
        </c:scaling>
        <c:delete val="0"/>
        <c:axPos val="l"/>
        <c:majorGridlines>
          <c:spPr>
            <a:ln w="3175">
              <a:solidFill>
                <a:srgbClr val="000000"/>
              </a:solidFill>
              <a:prstDash val="solid"/>
            </a:ln>
          </c:spPr>
        </c:majorGridlines>
        <c:title>
          <c:tx>
            <c:rich>
              <a:bodyPr/>
              <a:lstStyle/>
              <a:p>
                <a:pPr>
                  <a:defRPr sz="1100" b="1" i="0" u="none" strike="noStrike" baseline="0">
                    <a:solidFill>
                      <a:srgbClr val="000000"/>
                    </a:solidFill>
                    <a:latin typeface="Arial"/>
                    <a:ea typeface="Arial"/>
                    <a:cs typeface="Arial"/>
                  </a:defRPr>
                </a:pPr>
                <a:r>
                  <a:rPr lang="en-US" sz="1100"/>
                  <a:t>FSw</a:t>
                </a:r>
                <a:r>
                  <a:rPr lang="en-US" sz="1100" baseline="0"/>
                  <a:t> (kHz)</a:t>
                </a:r>
                <a:endParaRPr lang="en-US" sz="1100"/>
              </a:p>
            </c:rich>
          </c:tx>
          <c:layout>
            <c:manualLayout>
              <c:xMode val="edge"/>
              <c:yMode val="edge"/>
              <c:x val="1.910828025477734E-2"/>
              <c:y val="0.37298429430192825"/>
            </c:manualLayout>
          </c:layout>
          <c:overlay val="0"/>
          <c:spPr>
            <a:noFill/>
            <a:ln w="25400">
              <a:noFill/>
            </a:ln>
          </c:spPr>
        </c:title>
        <c:numFmt formatCode="General" sourceLinked="0"/>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Arial"/>
                <a:ea typeface="Arial"/>
                <a:cs typeface="Arial"/>
              </a:defRPr>
            </a:pPr>
            <a:endParaRPr lang="ko-KR"/>
          </a:p>
        </c:txPr>
        <c:crossAx val="139522816"/>
        <c:crosses val="autoZero"/>
        <c:crossBetween val="midCat"/>
      </c:valAx>
      <c:spPr>
        <a:solidFill>
          <a:schemeClr val="bg1">
            <a:lumMod val="95000"/>
          </a:schemeClr>
        </a:solidFill>
        <a:ln w="12700">
          <a:solidFill>
            <a:srgbClr val="808080"/>
          </a:solidFill>
          <a:prstDash val="solid"/>
        </a:ln>
      </c:spPr>
    </c:plotArea>
    <c:legend>
      <c:legendPos val="r"/>
      <c:layout>
        <c:manualLayout>
          <c:xMode val="edge"/>
          <c:yMode val="edge"/>
          <c:x val="0.13445630576004464"/>
          <c:y val="0.14722888183191415"/>
          <c:w val="0.26461167950535469"/>
          <c:h val="0.15077691641594146"/>
        </c:manualLayout>
      </c:layout>
      <c:overlay val="0"/>
      <c:spPr>
        <a:solidFill>
          <a:srgbClr val="FFFFFF"/>
        </a:solidFill>
        <a:ln w="3175">
          <a:solidFill>
            <a:srgbClr val="000000"/>
          </a:solidFill>
          <a:prstDash val="solid"/>
        </a:ln>
      </c:spPr>
      <c:txPr>
        <a:bodyPr/>
        <a:lstStyle/>
        <a:p>
          <a:pPr>
            <a:defRPr sz="1100" b="0" i="0" u="none" strike="noStrike" baseline="0">
              <a:solidFill>
                <a:srgbClr val="000000"/>
              </a:solidFill>
              <a:latin typeface="Arial"/>
              <a:ea typeface="Arial"/>
              <a:cs typeface="Arial"/>
            </a:defRPr>
          </a:pPr>
          <a:endParaRPr lang="ko-KR"/>
        </a:p>
      </c:txPr>
    </c:legend>
    <c:plotVisOnly val="1"/>
    <c:dispBlanksAs val="gap"/>
    <c:showDLblsOverMax val="0"/>
  </c:chart>
  <c:spPr>
    <a:solidFill>
      <a:srgbClr val="FFFFFF"/>
    </a:solidFill>
    <a:ln w="3175">
      <a:solidFill>
        <a:srgbClr val="000000"/>
      </a:solidFill>
      <a:prstDash val="solid"/>
    </a:ln>
  </c:spPr>
  <c:txPr>
    <a:bodyPr/>
    <a:lstStyle/>
    <a:p>
      <a:pPr>
        <a:defRPr sz="975" b="0" i="0" u="none" strike="noStrike" baseline="0">
          <a:solidFill>
            <a:srgbClr val="000000"/>
          </a:solidFill>
          <a:latin typeface="Arial"/>
          <a:ea typeface="Arial"/>
          <a:cs typeface="Arial"/>
        </a:defRPr>
      </a:pPr>
      <a:endParaRPr lang="ko-KR"/>
    </a:p>
  </c:txPr>
  <c:printSettings>
    <c:headerFooter alignWithMargins="0"/>
    <c:pageMargins b="1" l="0.75000000000000822" r="0.75000000000000822" t="1" header="0.5" footer="0.5"/>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ko-K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b="1" i="0" u="none" strike="noStrike" baseline="0">
                <a:solidFill>
                  <a:srgbClr val="000000"/>
                </a:solidFill>
                <a:latin typeface="Arial"/>
                <a:ea typeface="Arial"/>
                <a:cs typeface="Arial"/>
              </a:defRPr>
            </a:pPr>
            <a:r>
              <a:rPr lang="en-US" sz="2000"/>
              <a:t>Breakdown of COT Efficiency Losses vs. Iout</a:t>
            </a:r>
          </a:p>
        </c:rich>
      </c:tx>
      <c:layout>
        <c:manualLayout>
          <c:xMode val="edge"/>
          <c:yMode val="edge"/>
          <c:x val="0.21668095607596721"/>
          <c:y val="3.0815438913941871E-2"/>
        </c:manualLayout>
      </c:layout>
      <c:overlay val="0"/>
      <c:spPr>
        <a:noFill/>
        <a:ln w="25400">
          <a:noFill/>
        </a:ln>
      </c:spPr>
    </c:title>
    <c:autoTitleDeleted val="0"/>
    <c:plotArea>
      <c:layout>
        <c:manualLayout>
          <c:layoutTarget val="inner"/>
          <c:xMode val="edge"/>
          <c:yMode val="edge"/>
          <c:x val="0.18496430825131774"/>
          <c:y val="0.14694417652807107"/>
          <c:w val="0.46181411156941887"/>
          <c:h val="0.69570915435856628"/>
        </c:manualLayout>
      </c:layout>
      <c:areaChart>
        <c:grouping val="percentStacked"/>
        <c:varyColors val="0"/>
        <c:ser>
          <c:idx val="1"/>
          <c:order val="0"/>
          <c:tx>
            <c:strRef>
              <c:f>Parameters!$BI$5</c:f>
              <c:strCache>
                <c:ptCount val="1"/>
                <c:pt idx="0">
                  <c:v>Cin Cout ESR %</c:v>
                </c:pt>
              </c:strCache>
            </c:strRef>
          </c:tx>
          <c:spPr>
            <a:solidFill>
              <a:srgbClr val="FFFF00"/>
            </a:solidFill>
            <a:ln w="12700">
              <a:solidFill>
                <a:srgbClr val="000000"/>
              </a:solidFill>
              <a:prstDash val="solid"/>
            </a:ln>
          </c:spPr>
          <c:val>
            <c:numRef>
              <c:f>Parameters!$BI$6:$BI$106</c:f>
              <c:numCache>
                <c:formatCode>0.000%</c:formatCode>
                <c:ptCount val="101"/>
                <c:pt idx="0">
                  <c:v>0</c:v>
                </c:pt>
                <c:pt idx="1">
                  <c:v>0</c:v>
                </c:pt>
                <c:pt idx="2">
                  <c:v>0</c:v>
                </c:pt>
                <c:pt idx="3">
                  <c:v>0</c:v>
                </c:pt>
                <c:pt idx="100">
                  <c:v>0</c:v>
                </c:pt>
              </c:numCache>
            </c:numRef>
          </c:val>
        </c:ser>
        <c:ser>
          <c:idx val="3"/>
          <c:order val="1"/>
          <c:tx>
            <c:strRef>
              <c:f>Parameters!$BF$5</c:f>
              <c:strCache>
                <c:ptCount val="1"/>
                <c:pt idx="0">
                  <c:v>Deadtime Loss %</c:v>
                </c:pt>
              </c:strCache>
            </c:strRef>
          </c:tx>
          <c:spPr>
            <a:solidFill>
              <a:srgbClr val="666699"/>
            </a:solidFill>
            <a:ln w="12700">
              <a:solidFill>
                <a:srgbClr val="000000"/>
              </a:solidFill>
              <a:prstDash val="solid"/>
            </a:ln>
          </c:spPr>
          <c:val>
            <c:numRef>
              <c:f>Parameters!$BF$6:$BF$106</c:f>
              <c:numCache>
                <c:formatCode>0.000%</c:formatCode>
                <c:ptCount val="101"/>
                <c:pt idx="0">
                  <c:v>0</c:v>
                </c:pt>
                <c:pt idx="1">
                  <c:v>0</c:v>
                </c:pt>
                <c:pt idx="2">
                  <c:v>0</c:v>
                </c:pt>
                <c:pt idx="3">
                  <c:v>0</c:v>
                </c:pt>
                <c:pt idx="100">
                  <c:v>0</c:v>
                </c:pt>
              </c:numCache>
            </c:numRef>
          </c:val>
        </c:ser>
        <c:ser>
          <c:idx val="6"/>
          <c:order val="2"/>
          <c:tx>
            <c:strRef>
              <c:f>Parameters!$BA$5</c:f>
              <c:strCache>
                <c:ptCount val="1"/>
                <c:pt idx="0">
                  <c:v>High-side MOSFET Rdson %</c:v>
                </c:pt>
              </c:strCache>
            </c:strRef>
          </c:tx>
          <c:spPr>
            <a:solidFill>
              <a:srgbClr val="FF0000"/>
            </a:solidFill>
            <a:ln w="12700">
              <a:solidFill>
                <a:srgbClr val="000000"/>
              </a:solidFill>
              <a:prstDash val="solid"/>
            </a:ln>
          </c:spPr>
          <c:val>
            <c:numRef>
              <c:f>Parameters!$BA$6:$BA$106</c:f>
              <c:numCache>
                <c:formatCode>0.000%</c:formatCode>
                <c:ptCount val="101"/>
                <c:pt idx="0">
                  <c:v>0</c:v>
                </c:pt>
                <c:pt idx="1">
                  <c:v>0</c:v>
                </c:pt>
                <c:pt idx="2">
                  <c:v>0</c:v>
                </c:pt>
                <c:pt idx="3">
                  <c:v>0</c:v>
                </c:pt>
                <c:pt idx="100">
                  <c:v>0</c:v>
                </c:pt>
              </c:numCache>
            </c:numRef>
          </c:val>
        </c:ser>
        <c:ser>
          <c:idx val="7"/>
          <c:order val="3"/>
          <c:tx>
            <c:strRef>
              <c:f>Parameters!$BB$5</c:f>
              <c:strCache>
                <c:ptCount val="1"/>
                <c:pt idx="0">
                  <c:v>Low-side MOSFET Rdson %</c:v>
                </c:pt>
              </c:strCache>
            </c:strRef>
          </c:tx>
          <c:spPr>
            <a:solidFill>
              <a:srgbClr val="FF6600"/>
            </a:solidFill>
            <a:ln w="12700">
              <a:solidFill>
                <a:srgbClr val="000000"/>
              </a:solidFill>
              <a:prstDash val="solid"/>
            </a:ln>
          </c:spPr>
          <c:val>
            <c:numRef>
              <c:f>Parameters!$BB$6:$BB$106</c:f>
              <c:numCache>
                <c:formatCode>0.000%</c:formatCode>
                <c:ptCount val="101"/>
                <c:pt idx="0">
                  <c:v>0</c:v>
                </c:pt>
                <c:pt idx="1">
                  <c:v>0</c:v>
                </c:pt>
                <c:pt idx="2">
                  <c:v>0</c:v>
                </c:pt>
                <c:pt idx="3">
                  <c:v>0</c:v>
                </c:pt>
                <c:pt idx="100">
                  <c:v>0</c:v>
                </c:pt>
              </c:numCache>
            </c:numRef>
          </c:val>
        </c:ser>
        <c:ser>
          <c:idx val="4"/>
          <c:order val="4"/>
          <c:tx>
            <c:strRef>
              <c:f>Parameters!$BH$5</c:f>
              <c:strCache>
                <c:ptCount val="1"/>
                <c:pt idx="0">
                  <c:v>Inductor Core Loss %</c:v>
                </c:pt>
              </c:strCache>
            </c:strRef>
          </c:tx>
          <c:spPr>
            <a:solidFill>
              <a:srgbClr val="99CC00"/>
            </a:solidFill>
            <a:ln w="12700">
              <a:solidFill>
                <a:srgbClr val="000000"/>
              </a:solidFill>
              <a:prstDash val="solid"/>
            </a:ln>
          </c:spPr>
          <c:val>
            <c:numRef>
              <c:f>Parameters!$BH$6:$BH$106</c:f>
              <c:numCache>
                <c:formatCode>0.000%</c:formatCode>
                <c:ptCount val="101"/>
                <c:pt idx="0">
                  <c:v>0</c:v>
                </c:pt>
                <c:pt idx="1">
                  <c:v>0</c:v>
                </c:pt>
                <c:pt idx="2">
                  <c:v>0</c:v>
                </c:pt>
                <c:pt idx="3">
                  <c:v>0</c:v>
                </c:pt>
                <c:pt idx="100">
                  <c:v>0</c:v>
                </c:pt>
              </c:numCache>
            </c:numRef>
          </c:val>
        </c:ser>
        <c:ser>
          <c:idx val="8"/>
          <c:order val="5"/>
          <c:tx>
            <c:strRef>
              <c:f>Parameters!$BG$5</c:f>
              <c:strCache>
                <c:ptCount val="1"/>
                <c:pt idx="0">
                  <c:v>Inductor Cu Loss %</c:v>
                </c:pt>
              </c:strCache>
            </c:strRef>
          </c:tx>
          <c:spPr>
            <a:solidFill>
              <a:srgbClr val="00FF00"/>
            </a:solidFill>
            <a:ln w="12700">
              <a:solidFill>
                <a:srgbClr val="000000"/>
              </a:solidFill>
              <a:prstDash val="solid"/>
            </a:ln>
          </c:spPr>
          <c:val>
            <c:numRef>
              <c:f>Parameters!$BG$6:$BG$106</c:f>
              <c:numCache>
                <c:formatCode>0.000%</c:formatCode>
                <c:ptCount val="101"/>
                <c:pt idx="0">
                  <c:v>0</c:v>
                </c:pt>
                <c:pt idx="1">
                  <c:v>0</c:v>
                </c:pt>
                <c:pt idx="2">
                  <c:v>0</c:v>
                </c:pt>
                <c:pt idx="3">
                  <c:v>0</c:v>
                </c:pt>
                <c:pt idx="100">
                  <c:v>0</c:v>
                </c:pt>
              </c:numCache>
            </c:numRef>
          </c:val>
        </c:ser>
        <c:ser>
          <c:idx val="2"/>
          <c:order val="6"/>
          <c:tx>
            <c:strRef>
              <c:f>Parameters!$BC$5</c:f>
              <c:strCache>
                <c:ptCount val="1"/>
                <c:pt idx="0">
                  <c:v>Gate Drive (Qg) Loss from Vin %</c:v>
                </c:pt>
              </c:strCache>
            </c:strRef>
          </c:tx>
          <c:spPr>
            <a:solidFill>
              <a:srgbClr val="00FFFF"/>
            </a:solidFill>
            <a:ln w="12700">
              <a:solidFill>
                <a:srgbClr val="000000"/>
              </a:solidFill>
              <a:prstDash val="solid"/>
            </a:ln>
          </c:spPr>
          <c:val>
            <c:numRef>
              <c:f>Parameters!$BC$6:$BC$106</c:f>
              <c:numCache>
                <c:formatCode>0.000%</c:formatCode>
                <c:ptCount val="101"/>
                <c:pt idx="0">
                  <c:v>0</c:v>
                </c:pt>
                <c:pt idx="1">
                  <c:v>0</c:v>
                </c:pt>
                <c:pt idx="2">
                  <c:v>0</c:v>
                </c:pt>
                <c:pt idx="3">
                  <c:v>0</c:v>
                </c:pt>
                <c:pt idx="100">
                  <c:v>0</c:v>
                </c:pt>
              </c:numCache>
            </c:numRef>
          </c:val>
        </c:ser>
        <c:ser>
          <c:idx val="5"/>
          <c:order val="7"/>
          <c:tx>
            <c:strRef>
              <c:f>Parameters!$BD$5</c:f>
              <c:strCache>
                <c:ptCount val="1"/>
                <c:pt idx="0">
                  <c:v>High-side MOSFET Switching Loss %</c:v>
                </c:pt>
              </c:strCache>
            </c:strRef>
          </c:tx>
          <c:spPr>
            <a:solidFill>
              <a:srgbClr val="0000FF"/>
            </a:solidFill>
            <a:ln w="12700">
              <a:solidFill>
                <a:srgbClr val="000000"/>
              </a:solidFill>
              <a:prstDash val="solid"/>
            </a:ln>
          </c:spPr>
          <c:val>
            <c:numRef>
              <c:f>Parameters!$BD$6:$BD$106</c:f>
              <c:numCache>
                <c:formatCode>0.000%</c:formatCode>
                <c:ptCount val="101"/>
                <c:pt idx="0">
                  <c:v>0</c:v>
                </c:pt>
                <c:pt idx="1">
                  <c:v>0</c:v>
                </c:pt>
                <c:pt idx="2">
                  <c:v>0</c:v>
                </c:pt>
                <c:pt idx="3">
                  <c:v>0</c:v>
                </c:pt>
                <c:pt idx="100">
                  <c:v>0</c:v>
                </c:pt>
              </c:numCache>
            </c:numRef>
          </c:val>
        </c:ser>
        <c:ser>
          <c:idx val="10"/>
          <c:order val="8"/>
          <c:tx>
            <c:strRef>
              <c:f>Parameters!$BE$5</c:f>
              <c:strCache>
                <c:ptCount val="1"/>
                <c:pt idx="0">
                  <c:v>Reverse Recovery &amp; Leakage Loss %</c:v>
                </c:pt>
              </c:strCache>
            </c:strRef>
          </c:tx>
          <c:spPr>
            <a:solidFill>
              <a:srgbClr val="FFFF00"/>
            </a:solidFill>
            <a:ln w="12700">
              <a:solidFill>
                <a:srgbClr val="000000"/>
              </a:solidFill>
              <a:prstDash val="solid"/>
            </a:ln>
          </c:spPr>
          <c:val>
            <c:numRef>
              <c:f>Parameters!$BE$6:$BE$106</c:f>
              <c:numCache>
                <c:formatCode>0.000%</c:formatCode>
                <c:ptCount val="101"/>
                <c:pt idx="0">
                  <c:v>0</c:v>
                </c:pt>
                <c:pt idx="1">
                  <c:v>0</c:v>
                </c:pt>
                <c:pt idx="2">
                  <c:v>0</c:v>
                </c:pt>
                <c:pt idx="3">
                  <c:v>0</c:v>
                </c:pt>
                <c:pt idx="100">
                  <c:v>0</c:v>
                </c:pt>
              </c:numCache>
            </c:numRef>
          </c:val>
        </c:ser>
        <c:ser>
          <c:idx val="0"/>
          <c:order val="9"/>
          <c:tx>
            <c:strRef>
              <c:f>Parameters!$BJ$5</c:f>
              <c:strCache>
                <c:ptCount val="1"/>
                <c:pt idx="0">
                  <c:v>Quiescent Current Loss %</c:v>
                </c:pt>
              </c:strCache>
            </c:strRef>
          </c:tx>
          <c:val>
            <c:numRef>
              <c:f>Parameters!$BJ$6:$BJ$106</c:f>
              <c:numCache>
                <c:formatCode>0.00%</c:formatCode>
                <c:ptCount val="101"/>
                <c:pt idx="0">
                  <c:v>0</c:v>
                </c:pt>
                <c:pt idx="1">
                  <c:v>0</c:v>
                </c:pt>
                <c:pt idx="2">
                  <c:v>0</c:v>
                </c:pt>
                <c:pt idx="3">
                  <c:v>0</c:v>
                </c:pt>
                <c:pt idx="100">
                  <c:v>0</c:v>
                </c:pt>
              </c:numCache>
            </c:numRef>
          </c:val>
        </c:ser>
        <c:ser>
          <c:idx val="9"/>
          <c:order val="10"/>
          <c:tx>
            <c:strRef>
              <c:f>Parameters!$BL$5</c:f>
              <c:strCache>
                <c:ptCount val="1"/>
                <c:pt idx="0">
                  <c:v>Overall Eff %</c:v>
                </c:pt>
              </c:strCache>
            </c:strRef>
          </c:tx>
          <c:spPr>
            <a:solidFill>
              <a:srgbClr val="000000"/>
            </a:solidFill>
            <a:ln w="12700">
              <a:solidFill>
                <a:srgbClr val="000000"/>
              </a:solidFill>
              <a:prstDash val="solid"/>
            </a:ln>
          </c:spPr>
          <c:val>
            <c:numRef>
              <c:f>Parameters!$BL$6:$BL$106</c:f>
              <c:numCache>
                <c:formatCode>0.00%</c:formatCode>
                <c:ptCount val="101"/>
                <c:pt idx="0">
                  <c:v>1</c:v>
                </c:pt>
                <c:pt idx="1">
                  <c:v>1</c:v>
                </c:pt>
                <c:pt idx="2">
                  <c:v>1</c:v>
                </c:pt>
                <c:pt idx="3">
                  <c:v>1</c:v>
                </c:pt>
                <c:pt idx="100">
                  <c:v>1</c:v>
                </c:pt>
              </c:numCache>
            </c:numRef>
          </c:val>
        </c:ser>
        <c:dLbls>
          <c:showLegendKey val="0"/>
          <c:showVal val="0"/>
          <c:showCatName val="0"/>
          <c:showSerName val="0"/>
          <c:showPercent val="0"/>
          <c:showBubbleSize val="0"/>
        </c:dLbls>
        <c:axId val="139096832"/>
        <c:axId val="139098752"/>
      </c:areaChart>
      <c:catAx>
        <c:axId val="139096832"/>
        <c:scaling>
          <c:orientation val="minMax"/>
        </c:scaling>
        <c:delete val="0"/>
        <c:axPos val="b"/>
        <c:majorGridlines>
          <c:spPr>
            <a:ln w="3175">
              <a:solidFill>
                <a:srgbClr val="000000"/>
              </a:solidFill>
              <a:prstDash val="solid"/>
            </a:ln>
          </c:spPr>
        </c:majorGridlines>
        <c:title>
          <c:tx>
            <c:rich>
              <a:bodyPr/>
              <a:lstStyle/>
              <a:p>
                <a:pPr>
                  <a:defRPr sz="1725" b="1" i="0" u="none" strike="noStrike" baseline="0">
                    <a:solidFill>
                      <a:srgbClr val="000000"/>
                    </a:solidFill>
                    <a:latin typeface="Arial"/>
                    <a:ea typeface="Arial"/>
                    <a:cs typeface="Arial"/>
                  </a:defRPr>
                </a:pPr>
                <a:r>
                  <a:rPr lang="en-US"/>
                  <a:t>I</a:t>
                </a:r>
                <a:r>
                  <a:rPr lang="en-US" baseline="-25000"/>
                  <a:t>OUT</a:t>
                </a:r>
                <a:r>
                  <a:rPr lang="en-US"/>
                  <a:t> (log)</a:t>
                </a:r>
              </a:p>
            </c:rich>
          </c:tx>
          <c:layout>
            <c:manualLayout>
              <c:xMode val="edge"/>
              <c:yMode val="edge"/>
              <c:x val="0.37238179041606823"/>
              <c:y val="0.89147900498075083"/>
            </c:manualLayout>
          </c:layout>
          <c:overlay val="0"/>
          <c:spPr>
            <a:noFill/>
            <a:ln w="25400">
              <a:noFill/>
            </a:ln>
          </c:spPr>
        </c:title>
        <c:numFmt formatCode="#,##0" sourceLinked="0"/>
        <c:majorTickMark val="out"/>
        <c:minorTickMark val="none"/>
        <c:tickLblPos val="none"/>
        <c:spPr>
          <a:ln w="3175">
            <a:solidFill>
              <a:srgbClr val="000000"/>
            </a:solidFill>
            <a:prstDash val="solid"/>
          </a:ln>
        </c:spPr>
        <c:txPr>
          <a:bodyPr rot="-5400000" vert="horz"/>
          <a:lstStyle/>
          <a:p>
            <a:pPr>
              <a:defRPr sz="1725" b="0" i="0" u="none" strike="noStrike" baseline="0">
                <a:solidFill>
                  <a:srgbClr val="000000"/>
                </a:solidFill>
                <a:latin typeface="Arial"/>
                <a:ea typeface="Arial"/>
                <a:cs typeface="Arial"/>
              </a:defRPr>
            </a:pPr>
            <a:endParaRPr lang="ko-KR"/>
          </a:p>
        </c:txPr>
        <c:crossAx val="139098752"/>
        <c:crosses val="autoZero"/>
        <c:auto val="1"/>
        <c:lblAlgn val="ctr"/>
        <c:lblOffset val="100"/>
        <c:tickMarkSkip val="1"/>
        <c:noMultiLvlLbl val="0"/>
      </c:catAx>
      <c:valAx>
        <c:axId val="139098752"/>
        <c:scaling>
          <c:orientation val="minMax"/>
          <c:max val="0.2"/>
          <c:min val="0"/>
        </c:scaling>
        <c:delete val="0"/>
        <c:axPos val="l"/>
        <c:majorGridlines>
          <c:spPr>
            <a:ln w="3175">
              <a:solidFill>
                <a:srgbClr val="000000"/>
              </a:solidFill>
              <a:prstDash val="solid"/>
            </a:ln>
          </c:spPr>
        </c:majorGridlines>
        <c:minorGridlines/>
        <c:title>
          <c:tx>
            <c:rich>
              <a:bodyPr/>
              <a:lstStyle/>
              <a:p>
                <a:pPr>
                  <a:defRPr sz="1725" b="1" i="0" u="none" strike="noStrike" baseline="0">
                    <a:solidFill>
                      <a:srgbClr val="000000"/>
                    </a:solidFill>
                    <a:latin typeface="Arial"/>
                    <a:ea typeface="Arial"/>
                    <a:cs typeface="Arial"/>
                  </a:defRPr>
                </a:pPr>
                <a:r>
                  <a:rPr lang="en-US"/>
                  <a:t>Efficiency (%)</a:t>
                </a:r>
              </a:p>
            </c:rich>
          </c:tx>
          <c:layout>
            <c:manualLayout>
              <c:xMode val="edge"/>
              <c:yMode val="edge"/>
              <c:x val="8.9796428919729693E-2"/>
              <c:y val="0.34567051649962088"/>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725" b="0" i="0" u="none" strike="noStrike" baseline="0">
                <a:solidFill>
                  <a:srgbClr val="000000"/>
                </a:solidFill>
                <a:latin typeface="Arial"/>
                <a:ea typeface="Arial"/>
                <a:cs typeface="Arial"/>
              </a:defRPr>
            </a:pPr>
            <a:endParaRPr lang="ko-KR"/>
          </a:p>
        </c:txPr>
        <c:crossAx val="139096832"/>
        <c:crosses val="autoZero"/>
        <c:crossBetween val="midCat"/>
        <c:majorUnit val="5.000000000000001E-2"/>
        <c:minorUnit val="2.5000000000000005E-2"/>
      </c:valAx>
      <c:spPr>
        <a:solidFill>
          <a:srgbClr val="C0C0C0"/>
        </a:solidFill>
        <a:ln w="12700">
          <a:solidFill>
            <a:srgbClr val="808080"/>
          </a:solidFill>
          <a:prstDash val="solid"/>
        </a:ln>
      </c:spPr>
    </c:plotArea>
    <c:legend>
      <c:legendPos val="r"/>
      <c:layout>
        <c:manualLayout>
          <c:xMode val="edge"/>
          <c:yMode val="edge"/>
          <c:x val="0.70666185810743165"/>
          <c:y val="9.3155590739667823E-2"/>
          <c:w val="0.26010897805044486"/>
          <c:h val="0.85864261581306134"/>
        </c:manualLayout>
      </c:layout>
      <c:overlay val="0"/>
      <c:spPr>
        <a:solidFill>
          <a:srgbClr val="FFFFFF"/>
        </a:solidFill>
        <a:ln w="3175">
          <a:solidFill>
            <a:srgbClr val="000000"/>
          </a:solidFill>
          <a:prstDash val="solid"/>
        </a:ln>
      </c:spPr>
      <c:txPr>
        <a:bodyPr/>
        <a:lstStyle/>
        <a:p>
          <a:pPr>
            <a:defRPr sz="1335" b="0" i="0" u="none" strike="noStrike" baseline="0">
              <a:solidFill>
                <a:srgbClr val="000000"/>
              </a:solidFill>
              <a:latin typeface="Arial"/>
              <a:ea typeface="Arial"/>
              <a:cs typeface="Arial"/>
            </a:defRPr>
          </a:pPr>
          <a:endParaRPr lang="ko-KR"/>
        </a:p>
      </c:txPr>
    </c:legend>
    <c:plotVisOnly val="1"/>
    <c:dispBlanksAs val="zero"/>
    <c:showDLblsOverMax val="0"/>
  </c:chart>
  <c:spPr>
    <a:solidFill>
      <a:srgbClr val="FFFFFF"/>
    </a:solidFill>
    <a:ln w="3175">
      <a:solidFill>
        <a:srgbClr val="000000"/>
      </a:solidFill>
      <a:prstDash val="solid"/>
    </a:ln>
  </c:spPr>
  <c:txPr>
    <a:bodyPr/>
    <a:lstStyle/>
    <a:p>
      <a:pPr>
        <a:defRPr sz="1725" b="0" i="0" u="none" strike="noStrike" baseline="0">
          <a:solidFill>
            <a:srgbClr val="000000"/>
          </a:solidFill>
          <a:latin typeface="Arial"/>
          <a:ea typeface="Arial"/>
          <a:cs typeface="Arial"/>
        </a:defRPr>
      </a:pPr>
      <a:endParaRPr lang="ko-KR"/>
    </a:p>
  </c:txPr>
  <c:printSettings>
    <c:headerFooter alignWithMargins="0"/>
    <c:pageMargins b="1" l="0.75000000000000189" r="0.75000000000000189" t="1" header="0.5" footer="0.5"/>
    <c:pageSetup orientation="landscape"/>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ko-K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800" b="1" i="0" baseline="0"/>
              <a:t>Breakdown of </a:t>
            </a:r>
            <a:r>
              <a:rPr lang="en-US" sz="1800" b="1" i="0" baseline="0">
                <a:solidFill>
                  <a:srgbClr val="FF0000"/>
                </a:solidFill>
              </a:rPr>
              <a:t>COT</a:t>
            </a:r>
            <a:r>
              <a:rPr lang="en-US" sz="1800" b="1" i="0" baseline="0"/>
              <a:t> Efficiency Losses (</a:t>
            </a:r>
            <a:r>
              <a:rPr lang="en-US" sz="1800" b="1" i="0" u="none" strike="noStrike" baseline="0"/>
              <a:t>I</a:t>
            </a:r>
            <a:r>
              <a:rPr lang="en-US" sz="1800" b="1" i="0" u="none" strike="noStrike" baseline="-25000"/>
              <a:t>OUT</a:t>
            </a:r>
            <a:r>
              <a:rPr lang="en-US" sz="1800" b="1" i="0" u="none" strike="noStrike" baseline="0"/>
              <a:t> = </a:t>
            </a:r>
            <a:r>
              <a:rPr lang="en-US" sz="1800" b="1" i="0" baseline="0"/>
              <a:t>100mA)</a:t>
            </a:r>
            <a:endParaRPr lang="en-US" sz="1800"/>
          </a:p>
        </c:rich>
      </c:tx>
      <c:layout>
        <c:manualLayout>
          <c:xMode val="edge"/>
          <c:yMode val="edge"/>
          <c:x val="0.32963167587477016"/>
          <c:y val="3.5906642728904876E-2"/>
        </c:manualLayout>
      </c:layout>
      <c:overlay val="0"/>
    </c:title>
    <c:autoTitleDeleted val="0"/>
    <c:plotArea>
      <c:layout>
        <c:manualLayout>
          <c:layoutTarget val="inner"/>
          <c:xMode val="edge"/>
          <c:yMode val="edge"/>
          <c:x val="9.2844202898550721E-2"/>
          <c:y val="0.14821658962288614"/>
          <c:w val="0.89442960513913661"/>
          <c:h val="0.76382419881536368"/>
        </c:manualLayout>
      </c:layout>
      <c:barChart>
        <c:barDir val="col"/>
        <c:grouping val="clustered"/>
        <c:varyColors val="0"/>
        <c:ser>
          <c:idx val="6"/>
          <c:order val="0"/>
          <c:tx>
            <c:strRef>
              <c:f>Parameters!$BA$5</c:f>
              <c:strCache>
                <c:ptCount val="1"/>
                <c:pt idx="0">
                  <c:v>High-side MOSFET Rdson %</c:v>
                </c:pt>
              </c:strCache>
            </c:strRef>
          </c:tx>
          <c:spPr>
            <a:solidFill>
              <a:srgbClr val="FF0000"/>
            </a:solidFill>
            <a:ln w="12700">
              <a:solidFill>
                <a:srgbClr val="000000"/>
              </a:solidFill>
              <a:prstDash val="solid"/>
            </a:ln>
          </c:spPr>
          <c:invertIfNegative val="0"/>
          <c:dLbls>
            <c:dLbl>
              <c:idx val="0"/>
              <c:tx>
                <c:rich>
                  <a:bodyPr/>
                  <a:lstStyle/>
                  <a:p>
                    <a:r>
                      <a:rPr lang="en-US"/>
                      <a:t>High-side MOSFET</a:t>
                    </a:r>
                  </a:p>
                  <a:p>
                    <a:r>
                      <a:rPr lang="en-US"/>
                      <a:t>Rdson</a:t>
                    </a:r>
                  </a:p>
                </c:rich>
              </c:tx>
              <c:dLblPos val="outEnd"/>
              <c:showLegendKey val="0"/>
              <c:showVal val="0"/>
              <c:showCatName val="0"/>
              <c:showSerName val="1"/>
              <c:showPercent val="0"/>
              <c:showBubbleSize val="0"/>
            </c:dLbl>
            <c:txPr>
              <a:bodyPr/>
              <a:lstStyle/>
              <a:p>
                <a:pPr>
                  <a:defRPr sz="1200" b="1"/>
                </a:pPr>
                <a:endParaRPr lang="ko-KR"/>
              </a:p>
            </c:txPr>
            <c:dLblPos val="outEnd"/>
            <c:showLegendKey val="0"/>
            <c:showVal val="0"/>
            <c:showCatName val="0"/>
            <c:showSerName val="1"/>
            <c:showPercent val="0"/>
            <c:showBubbleSize val="0"/>
            <c:showLeaderLines val="0"/>
          </c:dLbls>
          <c:val>
            <c:numRef>
              <c:f>Parameters!$BA$109</c:f>
              <c:numCache>
                <c:formatCode>0.000%</c:formatCode>
                <c:ptCount val="1"/>
                <c:pt idx="0">
                  <c:v>8.1000709018000279E-3</c:v>
                </c:pt>
              </c:numCache>
            </c:numRef>
          </c:val>
        </c:ser>
        <c:ser>
          <c:idx val="5"/>
          <c:order val="1"/>
          <c:tx>
            <c:strRef>
              <c:f>Parameters!$BD$5</c:f>
              <c:strCache>
                <c:ptCount val="1"/>
                <c:pt idx="0">
                  <c:v>High-side MOSFET Switching Loss %</c:v>
                </c:pt>
              </c:strCache>
            </c:strRef>
          </c:tx>
          <c:spPr>
            <a:solidFill>
              <a:srgbClr val="0000FF"/>
            </a:solidFill>
            <a:ln w="12700">
              <a:solidFill>
                <a:srgbClr val="000000"/>
              </a:solidFill>
              <a:prstDash val="solid"/>
            </a:ln>
          </c:spPr>
          <c:invertIfNegative val="0"/>
          <c:dLbls>
            <c:dLbl>
              <c:idx val="0"/>
              <c:layout>
                <c:manualLayout>
                  <c:x val="-9.2081031307550637E-4"/>
                  <c:y val="-7.1813285457809741E-3"/>
                </c:manualLayout>
              </c:layout>
              <c:tx>
                <c:rich>
                  <a:bodyPr/>
                  <a:lstStyle/>
                  <a:p>
                    <a:r>
                      <a:rPr lang="en-US"/>
                      <a:t>High-side MOSFET</a:t>
                    </a:r>
                  </a:p>
                  <a:p>
                    <a:r>
                      <a:rPr lang="en-US"/>
                      <a:t>Switching</a:t>
                    </a:r>
                  </a:p>
                </c:rich>
              </c:tx>
              <c:dLblPos val="outEnd"/>
              <c:showLegendKey val="0"/>
              <c:showVal val="0"/>
              <c:showCatName val="0"/>
              <c:showSerName val="1"/>
              <c:showPercent val="0"/>
              <c:showBubbleSize val="0"/>
            </c:dLbl>
            <c:txPr>
              <a:bodyPr/>
              <a:lstStyle/>
              <a:p>
                <a:pPr>
                  <a:defRPr sz="1200" b="1"/>
                </a:pPr>
                <a:endParaRPr lang="ko-KR"/>
              </a:p>
            </c:txPr>
            <c:dLblPos val="outEnd"/>
            <c:showLegendKey val="0"/>
            <c:showVal val="0"/>
            <c:showCatName val="0"/>
            <c:showSerName val="0"/>
            <c:showPercent val="0"/>
            <c:showBubbleSize val="0"/>
          </c:dLbls>
          <c:val>
            <c:numRef>
              <c:f>Parameters!$BD$109</c:f>
              <c:numCache>
                <c:formatCode>0.000%</c:formatCode>
                <c:ptCount val="1"/>
                <c:pt idx="0">
                  <c:v>9.9057039827182662E-3</c:v>
                </c:pt>
              </c:numCache>
            </c:numRef>
          </c:val>
        </c:ser>
        <c:ser>
          <c:idx val="7"/>
          <c:order val="2"/>
          <c:tx>
            <c:strRef>
              <c:f>Parameters!$BB$5</c:f>
              <c:strCache>
                <c:ptCount val="1"/>
                <c:pt idx="0">
                  <c:v>Low-side MOSFET Rdson %</c:v>
                </c:pt>
              </c:strCache>
            </c:strRef>
          </c:tx>
          <c:spPr>
            <a:solidFill>
              <a:srgbClr val="FF6600"/>
            </a:solidFill>
            <a:ln w="12700">
              <a:solidFill>
                <a:srgbClr val="000000"/>
              </a:solidFill>
              <a:prstDash val="solid"/>
            </a:ln>
          </c:spPr>
          <c:invertIfNegative val="0"/>
          <c:dLbls>
            <c:dLbl>
              <c:idx val="0"/>
              <c:tx>
                <c:rich>
                  <a:bodyPr/>
                  <a:lstStyle/>
                  <a:p>
                    <a:r>
                      <a:rPr lang="en-US" sz="1200" b="1"/>
                      <a:t>L</a:t>
                    </a:r>
                    <a:r>
                      <a:rPr lang="en-US" sz="1200"/>
                      <a:t>ow-side MOSFET</a:t>
                    </a:r>
                  </a:p>
                  <a:p>
                    <a:r>
                      <a:rPr lang="en-US" sz="1200"/>
                      <a:t>Rdson</a:t>
                    </a:r>
                  </a:p>
                </c:rich>
              </c:tx>
              <c:dLblPos val="outEnd"/>
              <c:showLegendKey val="0"/>
              <c:showVal val="1"/>
              <c:showCatName val="0"/>
              <c:showSerName val="1"/>
              <c:showPercent val="0"/>
              <c:showBubbleSize val="0"/>
            </c:dLbl>
            <c:txPr>
              <a:bodyPr/>
              <a:lstStyle/>
              <a:p>
                <a:pPr>
                  <a:defRPr b="1"/>
                </a:pPr>
                <a:endParaRPr lang="ko-KR"/>
              </a:p>
            </c:txPr>
            <c:dLblPos val="outEnd"/>
            <c:showLegendKey val="0"/>
            <c:showVal val="1"/>
            <c:showCatName val="0"/>
            <c:showSerName val="1"/>
            <c:showPercent val="0"/>
            <c:showBubbleSize val="0"/>
            <c:showLeaderLines val="0"/>
          </c:dLbls>
          <c:val>
            <c:numRef>
              <c:f>Parameters!$BB$109</c:f>
              <c:numCache>
                <c:formatCode>0.000%</c:formatCode>
                <c:ptCount val="1"/>
                <c:pt idx="0">
                  <c:v>1.4614802049391215E-2</c:v>
                </c:pt>
              </c:numCache>
            </c:numRef>
          </c:val>
        </c:ser>
        <c:ser>
          <c:idx val="3"/>
          <c:order val="3"/>
          <c:tx>
            <c:strRef>
              <c:f>Parameters!$BF$5</c:f>
              <c:strCache>
                <c:ptCount val="1"/>
                <c:pt idx="0">
                  <c:v>Deadtime Loss %</c:v>
                </c:pt>
              </c:strCache>
            </c:strRef>
          </c:tx>
          <c:spPr>
            <a:solidFill>
              <a:srgbClr val="666699"/>
            </a:solidFill>
            <a:ln w="12700">
              <a:solidFill>
                <a:srgbClr val="000000"/>
              </a:solidFill>
              <a:prstDash val="solid"/>
            </a:ln>
          </c:spPr>
          <c:invertIfNegative val="0"/>
          <c:dLbls>
            <c:dLbl>
              <c:idx val="0"/>
              <c:layout>
                <c:manualLayout>
                  <c:x val="0"/>
                  <c:y val="-9.5751047277079695E-3"/>
                </c:manualLayout>
              </c:layout>
              <c:tx>
                <c:rich>
                  <a:bodyPr/>
                  <a:lstStyle/>
                  <a:p>
                    <a:r>
                      <a:rPr lang="en-US"/>
                      <a:t>Low-side MOSFET</a:t>
                    </a:r>
                  </a:p>
                  <a:p>
                    <a:r>
                      <a:rPr lang="en-US"/>
                      <a:t>Deadtime </a:t>
                    </a:r>
                  </a:p>
                </c:rich>
              </c:tx>
              <c:dLblPos val="outEnd"/>
              <c:showLegendKey val="0"/>
              <c:showVal val="0"/>
              <c:showCatName val="0"/>
              <c:showSerName val="1"/>
              <c:showPercent val="0"/>
              <c:showBubbleSize val="0"/>
            </c:dLbl>
            <c:txPr>
              <a:bodyPr/>
              <a:lstStyle/>
              <a:p>
                <a:pPr>
                  <a:defRPr sz="1200" b="1"/>
                </a:pPr>
                <a:endParaRPr lang="ko-KR"/>
              </a:p>
            </c:txPr>
            <c:dLblPos val="outEnd"/>
            <c:showLegendKey val="0"/>
            <c:showVal val="0"/>
            <c:showCatName val="0"/>
            <c:showSerName val="1"/>
            <c:showPercent val="0"/>
            <c:showBubbleSize val="0"/>
            <c:showLeaderLines val="0"/>
          </c:dLbls>
          <c:val>
            <c:numRef>
              <c:f>Parameters!$BF$109</c:f>
              <c:numCache>
                <c:formatCode>0.000%</c:formatCode>
                <c:ptCount val="1"/>
                <c:pt idx="0">
                  <c:v>1.6465542803473395E-3</c:v>
                </c:pt>
              </c:numCache>
            </c:numRef>
          </c:val>
        </c:ser>
        <c:ser>
          <c:idx val="2"/>
          <c:order val="4"/>
          <c:tx>
            <c:strRef>
              <c:f>Parameters!$BC$5</c:f>
              <c:strCache>
                <c:ptCount val="1"/>
                <c:pt idx="0">
                  <c:v>Gate Drive (Qg) Loss from Vin %</c:v>
                </c:pt>
              </c:strCache>
            </c:strRef>
          </c:tx>
          <c:spPr>
            <a:solidFill>
              <a:srgbClr val="00FFFF"/>
            </a:solidFill>
            <a:ln w="12700">
              <a:solidFill>
                <a:srgbClr val="000000"/>
              </a:solidFill>
              <a:prstDash val="solid"/>
            </a:ln>
          </c:spPr>
          <c:invertIfNegative val="0"/>
          <c:dLbls>
            <c:dLbl>
              <c:idx val="0"/>
              <c:tx>
                <c:rich>
                  <a:bodyPr/>
                  <a:lstStyle/>
                  <a:p>
                    <a:r>
                      <a:rPr lang="en-US"/>
                      <a:t>Gate Drive (Qg)</a:t>
                    </a:r>
                  </a:p>
                  <a:p>
                    <a:r>
                      <a:rPr lang="en-US"/>
                      <a:t>Loss</a:t>
                    </a:r>
                  </a:p>
                </c:rich>
              </c:tx>
              <c:dLblPos val="outEnd"/>
              <c:showLegendKey val="0"/>
              <c:showVal val="0"/>
              <c:showCatName val="0"/>
              <c:showSerName val="1"/>
              <c:showPercent val="0"/>
              <c:showBubbleSize val="0"/>
            </c:dLbl>
            <c:txPr>
              <a:bodyPr rot="0" vert="horz"/>
              <a:lstStyle/>
              <a:p>
                <a:pPr>
                  <a:defRPr sz="1200" b="1"/>
                </a:pPr>
                <a:endParaRPr lang="ko-KR"/>
              </a:p>
            </c:txPr>
            <c:dLblPos val="outEnd"/>
            <c:showLegendKey val="0"/>
            <c:showVal val="0"/>
            <c:showCatName val="0"/>
            <c:showSerName val="0"/>
            <c:showPercent val="0"/>
            <c:showBubbleSize val="0"/>
          </c:dLbls>
          <c:val>
            <c:numRef>
              <c:f>Parameters!$BC$109</c:f>
              <c:numCache>
                <c:formatCode>0.000%</c:formatCode>
                <c:ptCount val="1"/>
                <c:pt idx="0">
                  <c:v>2.4831534664325892E-2</c:v>
                </c:pt>
              </c:numCache>
            </c:numRef>
          </c:val>
        </c:ser>
        <c:ser>
          <c:idx val="1"/>
          <c:order val="5"/>
          <c:tx>
            <c:strRef>
              <c:f>Parameters!$BE$5</c:f>
              <c:strCache>
                <c:ptCount val="1"/>
                <c:pt idx="0">
                  <c:v>Reverse Recovery &amp; Leakage Loss %</c:v>
                </c:pt>
              </c:strCache>
            </c:strRef>
          </c:tx>
          <c:invertIfNegative val="0"/>
          <c:dLbls>
            <c:dLbl>
              <c:idx val="0"/>
              <c:tx>
                <c:rich>
                  <a:bodyPr/>
                  <a:lstStyle/>
                  <a:p>
                    <a:r>
                      <a:rPr lang="en-US" sz="1200" b="1"/>
                      <a:t>Reverse Recovery</a:t>
                    </a:r>
                  </a:p>
                  <a:p>
                    <a:r>
                      <a:rPr lang="en-US" sz="1200" b="1"/>
                      <a:t>Loss</a:t>
                    </a:r>
                  </a:p>
                </c:rich>
              </c:tx>
              <c:showLegendKey val="0"/>
              <c:showVal val="0"/>
              <c:showCatName val="0"/>
              <c:showSerName val="1"/>
              <c:showPercent val="0"/>
              <c:showBubbleSize val="0"/>
            </c:dLbl>
            <c:showLegendKey val="0"/>
            <c:showVal val="0"/>
            <c:showCatName val="0"/>
            <c:showSerName val="1"/>
            <c:showPercent val="0"/>
            <c:showBubbleSize val="0"/>
            <c:showLeaderLines val="0"/>
          </c:dLbls>
          <c:val>
            <c:numRef>
              <c:f>Parameters!$BE$109</c:f>
              <c:numCache>
                <c:formatCode>0.000%</c:formatCode>
                <c:ptCount val="1"/>
                <c:pt idx="0">
                  <c:v>1.1631608311305648E-2</c:v>
                </c:pt>
              </c:numCache>
            </c:numRef>
          </c:val>
        </c:ser>
        <c:ser>
          <c:idx val="8"/>
          <c:order val="6"/>
          <c:tx>
            <c:strRef>
              <c:f>Parameters!$BG$5</c:f>
              <c:strCache>
                <c:ptCount val="1"/>
                <c:pt idx="0">
                  <c:v>Inductor Cu Loss %</c:v>
                </c:pt>
              </c:strCache>
            </c:strRef>
          </c:tx>
          <c:spPr>
            <a:solidFill>
              <a:srgbClr val="00FF00"/>
            </a:solidFill>
            <a:ln w="12700">
              <a:solidFill>
                <a:srgbClr val="000000"/>
              </a:solidFill>
              <a:prstDash val="solid"/>
            </a:ln>
          </c:spPr>
          <c:invertIfNegative val="0"/>
          <c:dLbls>
            <c:dLbl>
              <c:idx val="0"/>
              <c:tx>
                <c:rich>
                  <a:bodyPr/>
                  <a:lstStyle/>
                  <a:p>
                    <a:r>
                      <a:rPr lang="en-US"/>
                      <a:t>Inductor DCR</a:t>
                    </a:r>
                  </a:p>
                  <a:p>
                    <a:r>
                      <a:rPr lang="en-US"/>
                      <a:t>Loss</a:t>
                    </a:r>
                  </a:p>
                </c:rich>
              </c:tx>
              <c:showLegendKey val="0"/>
              <c:showVal val="0"/>
              <c:showCatName val="0"/>
              <c:showSerName val="1"/>
              <c:showPercent val="0"/>
              <c:showBubbleSize val="0"/>
            </c:dLbl>
            <c:txPr>
              <a:bodyPr/>
              <a:lstStyle/>
              <a:p>
                <a:pPr>
                  <a:defRPr sz="1200" b="1"/>
                </a:pPr>
                <a:endParaRPr lang="ko-KR"/>
              </a:p>
            </c:txPr>
            <c:showLegendKey val="0"/>
            <c:showVal val="0"/>
            <c:showCatName val="0"/>
            <c:showSerName val="0"/>
            <c:showPercent val="0"/>
            <c:showBubbleSize val="0"/>
          </c:dLbls>
          <c:val>
            <c:numRef>
              <c:f>Parameters!$BG$109</c:f>
              <c:numCache>
                <c:formatCode>0.000%</c:formatCode>
                <c:ptCount val="1"/>
                <c:pt idx="0">
                  <c:v>1.6051760250250457E-2</c:v>
                </c:pt>
              </c:numCache>
            </c:numRef>
          </c:val>
        </c:ser>
        <c:ser>
          <c:idx val="4"/>
          <c:order val="7"/>
          <c:tx>
            <c:strRef>
              <c:f>Parameters!$BH$5</c:f>
              <c:strCache>
                <c:ptCount val="1"/>
                <c:pt idx="0">
                  <c:v>Inductor Core Loss %</c:v>
                </c:pt>
              </c:strCache>
            </c:strRef>
          </c:tx>
          <c:spPr>
            <a:solidFill>
              <a:srgbClr val="99CC00"/>
            </a:solidFill>
            <a:ln w="12700">
              <a:solidFill>
                <a:srgbClr val="000000"/>
              </a:solidFill>
              <a:prstDash val="solid"/>
            </a:ln>
          </c:spPr>
          <c:invertIfNegative val="0"/>
          <c:dLbls>
            <c:dLbl>
              <c:idx val="0"/>
              <c:tx>
                <c:rich>
                  <a:bodyPr/>
                  <a:lstStyle/>
                  <a:p>
                    <a:r>
                      <a:rPr lang="en-US"/>
                      <a:t>Inductor Core</a:t>
                    </a:r>
                  </a:p>
                  <a:p>
                    <a:r>
                      <a:rPr lang="en-US"/>
                      <a:t>Loss</a:t>
                    </a:r>
                  </a:p>
                </c:rich>
              </c:tx>
              <c:showLegendKey val="0"/>
              <c:showVal val="0"/>
              <c:showCatName val="0"/>
              <c:showSerName val="1"/>
              <c:showPercent val="0"/>
              <c:showBubbleSize val="0"/>
            </c:dLbl>
            <c:txPr>
              <a:bodyPr/>
              <a:lstStyle/>
              <a:p>
                <a:pPr>
                  <a:defRPr sz="1200" b="1"/>
                </a:pPr>
                <a:endParaRPr lang="ko-KR"/>
              </a:p>
            </c:txPr>
            <c:showLegendKey val="0"/>
            <c:showVal val="0"/>
            <c:showCatName val="0"/>
            <c:showSerName val="0"/>
            <c:showPercent val="0"/>
            <c:showBubbleSize val="0"/>
          </c:dLbls>
          <c:val>
            <c:numRef>
              <c:f>Parameters!$BH$109</c:f>
              <c:numCache>
                <c:formatCode>0.000%</c:formatCode>
                <c:ptCount val="1"/>
                <c:pt idx="0">
                  <c:v>6.8152413568584669E-3</c:v>
                </c:pt>
              </c:numCache>
            </c:numRef>
          </c:val>
        </c:ser>
        <c:ser>
          <c:idx val="0"/>
          <c:order val="8"/>
          <c:tx>
            <c:strRef>
              <c:f>Parameters!$BJ$5</c:f>
              <c:strCache>
                <c:ptCount val="1"/>
                <c:pt idx="0">
                  <c:v>Quiescent Current Loss %</c:v>
                </c:pt>
              </c:strCache>
            </c:strRef>
          </c:tx>
          <c:invertIfNegative val="0"/>
          <c:dLbls>
            <c:dLbl>
              <c:idx val="0"/>
              <c:tx>
                <c:rich>
                  <a:bodyPr/>
                  <a:lstStyle/>
                  <a:p>
                    <a:r>
                      <a:rPr lang="en-US"/>
                      <a:t>Quiescent Current</a:t>
                    </a:r>
                  </a:p>
                  <a:p>
                    <a:r>
                      <a:rPr lang="en-US"/>
                      <a:t>Loss </a:t>
                    </a:r>
                  </a:p>
                </c:rich>
              </c:tx>
              <c:showLegendKey val="0"/>
              <c:showVal val="0"/>
              <c:showCatName val="0"/>
              <c:showSerName val="1"/>
              <c:showPercent val="0"/>
              <c:showBubbleSize val="0"/>
            </c:dLbl>
            <c:numFmt formatCode="0.0E+00" sourceLinked="0"/>
            <c:spPr>
              <a:noFill/>
            </c:spPr>
            <c:txPr>
              <a:bodyPr rot="0" vert="horz" anchor="ctr" anchorCtr="0"/>
              <a:lstStyle/>
              <a:p>
                <a:pPr>
                  <a:defRPr sz="1200" b="1"/>
                </a:pPr>
                <a:endParaRPr lang="ko-KR"/>
              </a:p>
            </c:txPr>
            <c:showLegendKey val="0"/>
            <c:showVal val="0"/>
            <c:showCatName val="0"/>
            <c:showSerName val="0"/>
            <c:showPercent val="0"/>
            <c:showBubbleSize val="0"/>
          </c:dLbls>
          <c:val>
            <c:numRef>
              <c:f>Parameters!$BJ$109</c:f>
              <c:numCache>
                <c:formatCode>0.000%</c:formatCode>
                <c:ptCount val="1"/>
                <c:pt idx="0">
                  <c:v>1.2837829865088564E-2</c:v>
                </c:pt>
              </c:numCache>
            </c:numRef>
          </c:val>
        </c:ser>
        <c:dLbls>
          <c:showLegendKey val="0"/>
          <c:showVal val="0"/>
          <c:showCatName val="0"/>
          <c:showSerName val="0"/>
          <c:showPercent val="0"/>
          <c:showBubbleSize val="0"/>
        </c:dLbls>
        <c:gapWidth val="101"/>
        <c:overlap val="-70"/>
        <c:axId val="139224576"/>
        <c:axId val="139226112"/>
      </c:barChart>
      <c:catAx>
        <c:axId val="139224576"/>
        <c:scaling>
          <c:orientation val="minMax"/>
        </c:scaling>
        <c:delete val="0"/>
        <c:axPos val="b"/>
        <c:numFmt formatCode="General" sourceLinked="1"/>
        <c:majorTickMark val="none"/>
        <c:minorTickMark val="none"/>
        <c:tickLblPos val="none"/>
        <c:spPr>
          <a:ln w="3175">
            <a:solidFill>
              <a:srgbClr val="000000"/>
            </a:solidFill>
            <a:prstDash val="solid"/>
          </a:ln>
        </c:spPr>
        <c:txPr>
          <a:bodyPr rot="0" vert="horz"/>
          <a:lstStyle/>
          <a:p>
            <a:pPr>
              <a:defRPr sz="1725" b="0" i="0" u="none" strike="noStrike" baseline="0">
                <a:solidFill>
                  <a:srgbClr val="000000"/>
                </a:solidFill>
                <a:latin typeface="Arial"/>
                <a:ea typeface="Arial"/>
                <a:cs typeface="Arial"/>
              </a:defRPr>
            </a:pPr>
            <a:endParaRPr lang="ko-KR"/>
          </a:p>
        </c:txPr>
        <c:crossAx val="139226112"/>
        <c:crossesAt val="0"/>
        <c:auto val="1"/>
        <c:lblAlgn val="ctr"/>
        <c:lblOffset val="100"/>
        <c:noMultiLvlLbl val="0"/>
      </c:catAx>
      <c:valAx>
        <c:axId val="139226112"/>
        <c:scaling>
          <c:orientation val="minMax"/>
          <c:min val="0"/>
        </c:scaling>
        <c:delete val="0"/>
        <c:axPos val="l"/>
        <c:majorGridlines>
          <c:spPr>
            <a:ln>
              <a:prstDash val="lgDash"/>
            </a:ln>
          </c:spPr>
        </c:majorGridlines>
        <c:title>
          <c:tx>
            <c:rich>
              <a:bodyPr/>
              <a:lstStyle/>
              <a:p>
                <a:pPr>
                  <a:defRPr b="1"/>
                </a:pPr>
                <a:r>
                  <a:rPr lang="en-US" b="1"/>
                  <a:t>Loss</a:t>
                </a:r>
                <a:r>
                  <a:rPr lang="en-US" b="1" baseline="0"/>
                  <a:t> Contributors</a:t>
                </a:r>
                <a:endParaRPr lang="en-US" b="1"/>
              </a:p>
            </c:rich>
          </c:tx>
          <c:layout>
            <c:manualLayout>
              <c:xMode val="edge"/>
              <c:yMode val="edge"/>
              <c:x val="9.9337306593581982E-3"/>
              <c:y val="0.30210944457795558"/>
            </c:manualLayout>
          </c:layout>
          <c:overlay val="0"/>
        </c:title>
        <c:numFmt formatCode="0.0%" sourceLinked="0"/>
        <c:majorTickMark val="out"/>
        <c:minorTickMark val="out"/>
        <c:tickLblPos val="low"/>
        <c:crossAx val="139224576"/>
        <c:crosses val="autoZero"/>
        <c:crossBetween val="between"/>
        <c:majorUnit val="5.0000000000000036E-3"/>
      </c:valAx>
      <c:spPr>
        <a:solidFill>
          <a:schemeClr val="bg1">
            <a:lumMod val="95000"/>
          </a:schemeClr>
        </a:solidFill>
        <a:ln w="25400">
          <a:noFill/>
        </a:ln>
      </c:spPr>
    </c:plotArea>
    <c:plotVisOnly val="1"/>
    <c:dispBlanksAs val="zero"/>
    <c:showDLblsOverMax val="0"/>
  </c:chart>
  <c:spPr>
    <a:solidFill>
      <a:srgbClr val="FFFFFF"/>
    </a:solidFill>
    <a:ln w="3175">
      <a:noFill/>
      <a:prstDash val="solid"/>
    </a:ln>
  </c:spPr>
  <c:txPr>
    <a:bodyPr/>
    <a:lstStyle/>
    <a:p>
      <a:pPr>
        <a:defRPr sz="1725" b="0" i="0" u="none" strike="noStrike" baseline="0">
          <a:solidFill>
            <a:srgbClr val="000000"/>
          </a:solidFill>
          <a:latin typeface="Arial"/>
          <a:ea typeface="Arial"/>
          <a:cs typeface="Arial"/>
        </a:defRPr>
      </a:pPr>
      <a:endParaRPr lang="ko-KR"/>
    </a:p>
  </c:txPr>
  <c:printSettings>
    <c:headerFooter alignWithMargins="0"/>
    <c:pageMargins b="1" l="0.75000000000000255" r="0.75000000000000255" t="1" header="0.5" footer="0.5"/>
    <c:pageSetup orientation="landscape"/>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ko-K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b="1" i="0" u="none" strike="noStrike" baseline="0">
                <a:solidFill>
                  <a:srgbClr val="000000"/>
                </a:solidFill>
                <a:latin typeface="Arial"/>
                <a:ea typeface="Arial"/>
                <a:cs typeface="Arial"/>
              </a:defRPr>
            </a:pPr>
            <a:r>
              <a:rPr lang="en-US" sz="2000"/>
              <a:t>Breakdown of COT Efficiency Losses vs. Iout</a:t>
            </a:r>
          </a:p>
        </c:rich>
      </c:tx>
      <c:layout>
        <c:manualLayout>
          <c:xMode val="edge"/>
          <c:yMode val="edge"/>
          <c:x val="0.19265692406240287"/>
          <c:y val="3.081543250743031E-2"/>
        </c:manualLayout>
      </c:layout>
      <c:overlay val="0"/>
      <c:spPr>
        <a:noFill/>
        <a:ln w="25400">
          <a:noFill/>
        </a:ln>
      </c:spPr>
    </c:title>
    <c:autoTitleDeleted val="0"/>
    <c:plotArea>
      <c:layout>
        <c:manualLayout>
          <c:layoutTarget val="inner"/>
          <c:xMode val="edge"/>
          <c:yMode val="edge"/>
          <c:x val="0.18496430825131774"/>
          <c:y val="0.14694417652807107"/>
          <c:w val="0.46181411156941887"/>
          <c:h val="0.69570915435856628"/>
        </c:manualLayout>
      </c:layout>
      <c:areaChart>
        <c:grouping val="percentStacked"/>
        <c:varyColors val="0"/>
        <c:ser>
          <c:idx val="1"/>
          <c:order val="0"/>
          <c:tx>
            <c:strRef>
              <c:f>Parameters!$BI$5</c:f>
              <c:strCache>
                <c:ptCount val="1"/>
                <c:pt idx="0">
                  <c:v>Cin Cout ESR %</c:v>
                </c:pt>
              </c:strCache>
            </c:strRef>
          </c:tx>
          <c:spPr>
            <a:solidFill>
              <a:srgbClr val="FFFF00"/>
            </a:solidFill>
            <a:ln w="12700">
              <a:solidFill>
                <a:srgbClr val="000000"/>
              </a:solidFill>
              <a:prstDash val="solid"/>
            </a:ln>
          </c:spPr>
          <c:val>
            <c:numRef>
              <c:f>Parameters!$BI$6:$BI$106</c:f>
              <c:numCache>
                <c:formatCode>0.000%</c:formatCode>
                <c:ptCount val="101"/>
                <c:pt idx="0">
                  <c:v>0</c:v>
                </c:pt>
                <c:pt idx="1">
                  <c:v>0</c:v>
                </c:pt>
                <c:pt idx="2">
                  <c:v>0</c:v>
                </c:pt>
                <c:pt idx="3">
                  <c:v>0</c:v>
                </c:pt>
                <c:pt idx="100">
                  <c:v>0</c:v>
                </c:pt>
              </c:numCache>
            </c:numRef>
          </c:val>
        </c:ser>
        <c:ser>
          <c:idx val="3"/>
          <c:order val="1"/>
          <c:tx>
            <c:strRef>
              <c:f>Parameters!$BF$5</c:f>
              <c:strCache>
                <c:ptCount val="1"/>
                <c:pt idx="0">
                  <c:v>Deadtime Loss %</c:v>
                </c:pt>
              </c:strCache>
            </c:strRef>
          </c:tx>
          <c:spPr>
            <a:solidFill>
              <a:srgbClr val="666699"/>
            </a:solidFill>
            <a:ln w="12700">
              <a:solidFill>
                <a:srgbClr val="000000"/>
              </a:solidFill>
              <a:prstDash val="solid"/>
            </a:ln>
          </c:spPr>
          <c:val>
            <c:numRef>
              <c:f>Parameters!$BF$6:$BF$106</c:f>
              <c:numCache>
                <c:formatCode>0.000%</c:formatCode>
                <c:ptCount val="101"/>
                <c:pt idx="0">
                  <c:v>0</c:v>
                </c:pt>
                <c:pt idx="1">
                  <c:v>0</c:v>
                </c:pt>
                <c:pt idx="2">
                  <c:v>0</c:v>
                </c:pt>
                <c:pt idx="3">
                  <c:v>0</c:v>
                </c:pt>
                <c:pt idx="100">
                  <c:v>0</c:v>
                </c:pt>
              </c:numCache>
            </c:numRef>
          </c:val>
        </c:ser>
        <c:ser>
          <c:idx val="6"/>
          <c:order val="2"/>
          <c:tx>
            <c:strRef>
              <c:f>Parameters!$BA$5</c:f>
              <c:strCache>
                <c:ptCount val="1"/>
                <c:pt idx="0">
                  <c:v>High-side MOSFET Rdson %</c:v>
                </c:pt>
              </c:strCache>
            </c:strRef>
          </c:tx>
          <c:spPr>
            <a:solidFill>
              <a:srgbClr val="FF0000"/>
            </a:solidFill>
            <a:ln w="12700">
              <a:solidFill>
                <a:srgbClr val="000000"/>
              </a:solidFill>
              <a:prstDash val="solid"/>
            </a:ln>
          </c:spPr>
          <c:val>
            <c:numRef>
              <c:f>Parameters!$BA$6:$BA$106</c:f>
              <c:numCache>
                <c:formatCode>0.000%</c:formatCode>
                <c:ptCount val="101"/>
                <c:pt idx="0">
                  <c:v>0</c:v>
                </c:pt>
                <c:pt idx="1">
                  <c:v>0</c:v>
                </c:pt>
                <c:pt idx="2">
                  <c:v>0</c:v>
                </c:pt>
                <c:pt idx="3">
                  <c:v>0</c:v>
                </c:pt>
                <c:pt idx="100">
                  <c:v>0</c:v>
                </c:pt>
              </c:numCache>
            </c:numRef>
          </c:val>
        </c:ser>
        <c:ser>
          <c:idx val="7"/>
          <c:order val="3"/>
          <c:tx>
            <c:strRef>
              <c:f>Parameters!$BB$5</c:f>
              <c:strCache>
                <c:ptCount val="1"/>
                <c:pt idx="0">
                  <c:v>Low-side MOSFET Rdson %</c:v>
                </c:pt>
              </c:strCache>
            </c:strRef>
          </c:tx>
          <c:spPr>
            <a:solidFill>
              <a:srgbClr val="FF6600"/>
            </a:solidFill>
            <a:ln w="12700">
              <a:solidFill>
                <a:srgbClr val="000000"/>
              </a:solidFill>
              <a:prstDash val="solid"/>
            </a:ln>
          </c:spPr>
          <c:val>
            <c:numRef>
              <c:f>Parameters!$BB$6:$BB$106</c:f>
              <c:numCache>
                <c:formatCode>0.000%</c:formatCode>
                <c:ptCount val="101"/>
                <c:pt idx="0">
                  <c:v>0</c:v>
                </c:pt>
                <c:pt idx="1">
                  <c:v>0</c:v>
                </c:pt>
                <c:pt idx="2">
                  <c:v>0</c:v>
                </c:pt>
                <c:pt idx="3">
                  <c:v>0</c:v>
                </c:pt>
                <c:pt idx="100">
                  <c:v>0</c:v>
                </c:pt>
              </c:numCache>
            </c:numRef>
          </c:val>
        </c:ser>
        <c:ser>
          <c:idx val="4"/>
          <c:order val="4"/>
          <c:tx>
            <c:strRef>
              <c:f>Parameters!$BH$5</c:f>
              <c:strCache>
                <c:ptCount val="1"/>
                <c:pt idx="0">
                  <c:v>Inductor Core Loss %</c:v>
                </c:pt>
              </c:strCache>
            </c:strRef>
          </c:tx>
          <c:spPr>
            <a:solidFill>
              <a:srgbClr val="99CC00"/>
            </a:solidFill>
            <a:ln w="12700">
              <a:solidFill>
                <a:srgbClr val="000000"/>
              </a:solidFill>
              <a:prstDash val="solid"/>
            </a:ln>
          </c:spPr>
          <c:val>
            <c:numRef>
              <c:f>Parameters!$BH$6:$BH$106</c:f>
              <c:numCache>
                <c:formatCode>0.000%</c:formatCode>
                <c:ptCount val="101"/>
                <c:pt idx="0">
                  <c:v>0</c:v>
                </c:pt>
                <c:pt idx="1">
                  <c:v>0</c:v>
                </c:pt>
                <c:pt idx="2">
                  <c:v>0</c:v>
                </c:pt>
                <c:pt idx="3">
                  <c:v>0</c:v>
                </c:pt>
                <c:pt idx="100">
                  <c:v>0</c:v>
                </c:pt>
              </c:numCache>
            </c:numRef>
          </c:val>
        </c:ser>
        <c:ser>
          <c:idx val="8"/>
          <c:order val="5"/>
          <c:tx>
            <c:strRef>
              <c:f>Parameters!$BG$5</c:f>
              <c:strCache>
                <c:ptCount val="1"/>
                <c:pt idx="0">
                  <c:v>Inductor Cu Loss %</c:v>
                </c:pt>
              </c:strCache>
            </c:strRef>
          </c:tx>
          <c:spPr>
            <a:solidFill>
              <a:srgbClr val="00FF00"/>
            </a:solidFill>
            <a:ln w="12700">
              <a:solidFill>
                <a:srgbClr val="000000"/>
              </a:solidFill>
              <a:prstDash val="solid"/>
            </a:ln>
          </c:spPr>
          <c:val>
            <c:numRef>
              <c:f>Parameters!$BG$6:$BG$106</c:f>
              <c:numCache>
                <c:formatCode>0.000%</c:formatCode>
                <c:ptCount val="101"/>
                <c:pt idx="0">
                  <c:v>0</c:v>
                </c:pt>
                <c:pt idx="1">
                  <c:v>0</c:v>
                </c:pt>
                <c:pt idx="2">
                  <c:v>0</c:v>
                </c:pt>
                <c:pt idx="3">
                  <c:v>0</c:v>
                </c:pt>
                <c:pt idx="100">
                  <c:v>0</c:v>
                </c:pt>
              </c:numCache>
            </c:numRef>
          </c:val>
        </c:ser>
        <c:ser>
          <c:idx val="2"/>
          <c:order val="6"/>
          <c:tx>
            <c:strRef>
              <c:f>Parameters!$BC$5</c:f>
              <c:strCache>
                <c:ptCount val="1"/>
                <c:pt idx="0">
                  <c:v>Gate Drive (Qg) Loss from Vin %</c:v>
                </c:pt>
              </c:strCache>
            </c:strRef>
          </c:tx>
          <c:spPr>
            <a:solidFill>
              <a:srgbClr val="00FFFF"/>
            </a:solidFill>
            <a:ln w="12700">
              <a:solidFill>
                <a:srgbClr val="000000"/>
              </a:solidFill>
              <a:prstDash val="solid"/>
            </a:ln>
          </c:spPr>
          <c:val>
            <c:numRef>
              <c:f>Parameters!$BC$6:$BC$106</c:f>
              <c:numCache>
                <c:formatCode>0.000%</c:formatCode>
                <c:ptCount val="101"/>
                <c:pt idx="0">
                  <c:v>0</c:v>
                </c:pt>
                <c:pt idx="1">
                  <c:v>0</c:v>
                </c:pt>
                <c:pt idx="2">
                  <c:v>0</c:v>
                </c:pt>
                <c:pt idx="3">
                  <c:v>0</c:v>
                </c:pt>
                <c:pt idx="100">
                  <c:v>0</c:v>
                </c:pt>
              </c:numCache>
            </c:numRef>
          </c:val>
        </c:ser>
        <c:ser>
          <c:idx val="5"/>
          <c:order val="7"/>
          <c:tx>
            <c:strRef>
              <c:f>Parameters!$BD$5</c:f>
              <c:strCache>
                <c:ptCount val="1"/>
                <c:pt idx="0">
                  <c:v>High-side MOSFET Switching Loss %</c:v>
                </c:pt>
              </c:strCache>
            </c:strRef>
          </c:tx>
          <c:spPr>
            <a:solidFill>
              <a:srgbClr val="0000FF"/>
            </a:solidFill>
            <a:ln w="12700">
              <a:solidFill>
                <a:srgbClr val="000000"/>
              </a:solidFill>
              <a:prstDash val="solid"/>
            </a:ln>
          </c:spPr>
          <c:val>
            <c:numRef>
              <c:f>Parameters!$BD$6:$BD$106</c:f>
              <c:numCache>
                <c:formatCode>0.000%</c:formatCode>
                <c:ptCount val="101"/>
                <c:pt idx="0">
                  <c:v>0</c:v>
                </c:pt>
                <c:pt idx="1">
                  <c:v>0</c:v>
                </c:pt>
                <c:pt idx="2">
                  <c:v>0</c:v>
                </c:pt>
                <c:pt idx="3">
                  <c:v>0</c:v>
                </c:pt>
                <c:pt idx="100">
                  <c:v>0</c:v>
                </c:pt>
              </c:numCache>
            </c:numRef>
          </c:val>
        </c:ser>
        <c:ser>
          <c:idx val="10"/>
          <c:order val="8"/>
          <c:tx>
            <c:strRef>
              <c:f>Parameters!$BE$5</c:f>
              <c:strCache>
                <c:ptCount val="1"/>
                <c:pt idx="0">
                  <c:v>Reverse Recovery &amp; Leakage Loss %</c:v>
                </c:pt>
              </c:strCache>
            </c:strRef>
          </c:tx>
          <c:spPr>
            <a:solidFill>
              <a:srgbClr val="FFFF00"/>
            </a:solidFill>
            <a:ln w="12700">
              <a:solidFill>
                <a:srgbClr val="000000"/>
              </a:solidFill>
              <a:prstDash val="solid"/>
            </a:ln>
          </c:spPr>
          <c:val>
            <c:numRef>
              <c:f>Parameters!$BE$6:$BE$106</c:f>
              <c:numCache>
                <c:formatCode>0.000%</c:formatCode>
                <c:ptCount val="101"/>
                <c:pt idx="0">
                  <c:v>0</c:v>
                </c:pt>
                <c:pt idx="1">
                  <c:v>0</c:v>
                </c:pt>
                <c:pt idx="2">
                  <c:v>0</c:v>
                </c:pt>
                <c:pt idx="3">
                  <c:v>0</c:v>
                </c:pt>
                <c:pt idx="100">
                  <c:v>0</c:v>
                </c:pt>
              </c:numCache>
            </c:numRef>
          </c:val>
        </c:ser>
        <c:ser>
          <c:idx val="0"/>
          <c:order val="9"/>
          <c:tx>
            <c:strRef>
              <c:f>Parameters!$BJ$5</c:f>
              <c:strCache>
                <c:ptCount val="1"/>
                <c:pt idx="0">
                  <c:v>Quiescent Current Loss %</c:v>
                </c:pt>
              </c:strCache>
            </c:strRef>
          </c:tx>
          <c:val>
            <c:numRef>
              <c:f>Parameters!$BJ$6:$BJ$106</c:f>
              <c:numCache>
                <c:formatCode>0.00%</c:formatCode>
                <c:ptCount val="101"/>
                <c:pt idx="0">
                  <c:v>0</c:v>
                </c:pt>
                <c:pt idx="1">
                  <c:v>0</c:v>
                </c:pt>
                <c:pt idx="2">
                  <c:v>0</c:v>
                </c:pt>
                <c:pt idx="3">
                  <c:v>0</c:v>
                </c:pt>
                <c:pt idx="100">
                  <c:v>0</c:v>
                </c:pt>
              </c:numCache>
            </c:numRef>
          </c:val>
        </c:ser>
        <c:ser>
          <c:idx val="9"/>
          <c:order val="10"/>
          <c:tx>
            <c:strRef>
              <c:f>Parameters!$BL$5</c:f>
              <c:strCache>
                <c:ptCount val="1"/>
                <c:pt idx="0">
                  <c:v>Overall Eff %</c:v>
                </c:pt>
              </c:strCache>
            </c:strRef>
          </c:tx>
          <c:spPr>
            <a:solidFill>
              <a:srgbClr val="000000"/>
            </a:solidFill>
            <a:ln w="12700">
              <a:solidFill>
                <a:srgbClr val="000000"/>
              </a:solidFill>
              <a:prstDash val="solid"/>
            </a:ln>
          </c:spPr>
          <c:val>
            <c:numRef>
              <c:f>Parameters!$BL$6:$BL$106</c:f>
              <c:numCache>
                <c:formatCode>0.00%</c:formatCode>
                <c:ptCount val="101"/>
                <c:pt idx="0">
                  <c:v>1</c:v>
                </c:pt>
                <c:pt idx="1">
                  <c:v>1</c:v>
                </c:pt>
                <c:pt idx="2">
                  <c:v>1</c:v>
                </c:pt>
                <c:pt idx="3">
                  <c:v>1</c:v>
                </c:pt>
                <c:pt idx="100">
                  <c:v>1</c:v>
                </c:pt>
              </c:numCache>
            </c:numRef>
          </c:val>
        </c:ser>
        <c:dLbls>
          <c:showLegendKey val="0"/>
          <c:showVal val="0"/>
          <c:showCatName val="0"/>
          <c:showSerName val="0"/>
          <c:showPercent val="0"/>
          <c:showBubbleSize val="0"/>
        </c:dLbls>
        <c:axId val="139942912"/>
        <c:axId val="139949184"/>
      </c:areaChart>
      <c:catAx>
        <c:axId val="139942912"/>
        <c:scaling>
          <c:orientation val="minMax"/>
        </c:scaling>
        <c:delete val="0"/>
        <c:axPos val="b"/>
        <c:majorGridlines>
          <c:spPr>
            <a:ln w="3175">
              <a:solidFill>
                <a:srgbClr val="000000"/>
              </a:solidFill>
              <a:prstDash val="solid"/>
            </a:ln>
          </c:spPr>
        </c:majorGridlines>
        <c:title>
          <c:tx>
            <c:rich>
              <a:bodyPr/>
              <a:lstStyle/>
              <a:p>
                <a:pPr>
                  <a:defRPr sz="1725" b="1" i="0" u="none" strike="noStrike" baseline="0">
                    <a:solidFill>
                      <a:srgbClr val="000000"/>
                    </a:solidFill>
                    <a:latin typeface="Arial"/>
                    <a:ea typeface="Arial"/>
                    <a:cs typeface="Arial"/>
                  </a:defRPr>
                </a:pPr>
                <a:r>
                  <a:rPr lang="en-US"/>
                  <a:t>I</a:t>
                </a:r>
                <a:r>
                  <a:rPr lang="en-US" baseline="-25000"/>
                  <a:t>OUT</a:t>
                </a:r>
                <a:r>
                  <a:rPr lang="en-US"/>
                  <a:t> (log scale)</a:t>
                </a:r>
              </a:p>
            </c:rich>
          </c:tx>
          <c:layout>
            <c:manualLayout>
              <c:xMode val="edge"/>
              <c:yMode val="edge"/>
              <c:x val="0.36670200647119611"/>
              <c:y val="0.89150460843557344"/>
            </c:manualLayout>
          </c:layout>
          <c:overlay val="0"/>
          <c:spPr>
            <a:noFill/>
            <a:ln w="25400">
              <a:noFill/>
            </a:ln>
          </c:spPr>
        </c:title>
        <c:numFmt formatCode="#,##0" sourceLinked="0"/>
        <c:majorTickMark val="out"/>
        <c:minorTickMark val="none"/>
        <c:tickLblPos val="none"/>
        <c:spPr>
          <a:ln w="3175">
            <a:solidFill>
              <a:srgbClr val="000000"/>
            </a:solidFill>
            <a:prstDash val="solid"/>
          </a:ln>
        </c:spPr>
        <c:txPr>
          <a:bodyPr rot="-5400000" vert="horz"/>
          <a:lstStyle/>
          <a:p>
            <a:pPr>
              <a:defRPr sz="1725" b="0" i="0" u="none" strike="noStrike" baseline="0">
                <a:solidFill>
                  <a:srgbClr val="000000"/>
                </a:solidFill>
                <a:latin typeface="Arial"/>
                <a:ea typeface="Arial"/>
                <a:cs typeface="Arial"/>
              </a:defRPr>
            </a:pPr>
            <a:endParaRPr lang="ko-KR"/>
          </a:p>
        </c:txPr>
        <c:crossAx val="139949184"/>
        <c:crosses val="autoZero"/>
        <c:auto val="1"/>
        <c:lblAlgn val="ctr"/>
        <c:lblOffset val="100"/>
        <c:tickMarkSkip val="1"/>
        <c:noMultiLvlLbl val="0"/>
      </c:catAx>
      <c:valAx>
        <c:axId val="139949184"/>
        <c:scaling>
          <c:orientation val="minMax"/>
          <c:max val="0.2"/>
          <c:min val="0"/>
        </c:scaling>
        <c:delete val="0"/>
        <c:axPos val="l"/>
        <c:majorGridlines>
          <c:spPr>
            <a:ln w="3175">
              <a:solidFill>
                <a:srgbClr val="000000"/>
              </a:solidFill>
              <a:prstDash val="solid"/>
            </a:ln>
          </c:spPr>
        </c:majorGridlines>
        <c:title>
          <c:tx>
            <c:rich>
              <a:bodyPr/>
              <a:lstStyle/>
              <a:p>
                <a:pPr>
                  <a:defRPr sz="1725" b="1" i="0" u="none" strike="noStrike" baseline="0">
                    <a:solidFill>
                      <a:srgbClr val="000000"/>
                    </a:solidFill>
                    <a:latin typeface="Arial"/>
                    <a:ea typeface="Arial"/>
                    <a:cs typeface="Arial"/>
                  </a:defRPr>
                </a:pPr>
                <a:r>
                  <a:rPr lang="en-US"/>
                  <a:t>Efficiency (%)</a:t>
                </a:r>
              </a:p>
            </c:rich>
          </c:tx>
          <c:layout>
            <c:manualLayout>
              <c:xMode val="edge"/>
              <c:yMode val="edge"/>
              <c:x val="0.10744349235757295"/>
              <c:y val="0.31943318355330808"/>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725" b="0" i="0" u="none" strike="noStrike" baseline="0">
                <a:solidFill>
                  <a:srgbClr val="000000"/>
                </a:solidFill>
                <a:latin typeface="Arial"/>
                <a:ea typeface="Arial"/>
                <a:cs typeface="Arial"/>
              </a:defRPr>
            </a:pPr>
            <a:endParaRPr lang="ko-KR"/>
          </a:p>
        </c:txPr>
        <c:crossAx val="139942912"/>
        <c:crosses val="autoZero"/>
        <c:crossBetween val="midCat"/>
        <c:majorUnit val="0.05"/>
      </c:valAx>
      <c:spPr>
        <a:solidFill>
          <a:srgbClr val="C0C0C0"/>
        </a:solidFill>
        <a:ln w="12700">
          <a:solidFill>
            <a:srgbClr val="808080"/>
          </a:solidFill>
          <a:prstDash val="solid"/>
        </a:ln>
      </c:spPr>
    </c:plotArea>
    <c:legend>
      <c:legendPos val="r"/>
      <c:layout>
        <c:manualLayout>
          <c:xMode val="edge"/>
          <c:yMode val="edge"/>
          <c:x val="0.6796348064312191"/>
          <c:y val="5.737748792134436E-2"/>
          <c:w val="0.26010897805044486"/>
          <c:h val="0.85864261581306134"/>
        </c:manualLayout>
      </c:layout>
      <c:overlay val="0"/>
      <c:spPr>
        <a:solidFill>
          <a:srgbClr val="FFFFFF"/>
        </a:solidFill>
        <a:ln w="3175">
          <a:solidFill>
            <a:srgbClr val="000000"/>
          </a:solidFill>
          <a:prstDash val="solid"/>
        </a:ln>
      </c:spPr>
      <c:txPr>
        <a:bodyPr/>
        <a:lstStyle/>
        <a:p>
          <a:pPr>
            <a:defRPr sz="1335" b="0" i="0" u="none" strike="noStrike" baseline="0">
              <a:solidFill>
                <a:srgbClr val="000000"/>
              </a:solidFill>
              <a:latin typeface="Arial"/>
              <a:ea typeface="Arial"/>
              <a:cs typeface="Arial"/>
            </a:defRPr>
          </a:pPr>
          <a:endParaRPr lang="ko-KR"/>
        </a:p>
      </c:txPr>
    </c:legend>
    <c:plotVisOnly val="1"/>
    <c:dispBlanksAs val="zero"/>
    <c:showDLblsOverMax val="0"/>
  </c:chart>
  <c:spPr>
    <a:solidFill>
      <a:srgbClr val="FFFFFF"/>
    </a:solidFill>
    <a:ln w="3175">
      <a:noFill/>
      <a:prstDash val="solid"/>
    </a:ln>
  </c:spPr>
  <c:txPr>
    <a:bodyPr/>
    <a:lstStyle/>
    <a:p>
      <a:pPr>
        <a:defRPr sz="1725" b="0" i="0" u="none" strike="noStrike" baseline="0">
          <a:solidFill>
            <a:srgbClr val="000000"/>
          </a:solidFill>
          <a:latin typeface="Arial"/>
          <a:ea typeface="Arial"/>
          <a:cs typeface="Arial"/>
        </a:defRPr>
      </a:pPr>
      <a:endParaRPr lang="ko-KR"/>
    </a:p>
  </c:txPr>
  <c:printSettings>
    <c:headerFooter alignWithMargins="0"/>
    <c:pageMargins b="1" l="0.75000000000000189" r="0.75000000000000189" t="1" header="0.5" footer="0.5"/>
    <c:pageSetup orientation="landscape"/>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ko-K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b="1" i="0" u="none" strike="noStrike" baseline="0">
                <a:solidFill>
                  <a:srgbClr val="000000"/>
                </a:solidFill>
                <a:latin typeface="Arial" pitchFamily="34" charset="0"/>
                <a:ea typeface="Calibri"/>
                <a:cs typeface="Arial" pitchFamily="34" charset="0"/>
              </a:defRPr>
            </a:pPr>
            <a:r>
              <a:rPr lang="en-US" sz="2000">
                <a:latin typeface="Arial" pitchFamily="34" charset="0"/>
                <a:cs typeface="Arial" pitchFamily="34" charset="0"/>
                <a:sym typeface="Symbol"/>
              </a:rPr>
              <a:t></a:t>
            </a:r>
            <a:r>
              <a:rPr lang="en-US" sz="2000" b="1" i="0" u="none" strike="noStrike" baseline="0"/>
              <a:t>, V</a:t>
            </a:r>
            <a:r>
              <a:rPr lang="en-US" sz="2000" b="1" i="0" u="none" strike="noStrike" baseline="-25000"/>
              <a:t>IN</a:t>
            </a:r>
            <a:r>
              <a:rPr lang="en-US" sz="2000" b="1" i="0" u="none" strike="noStrike" baseline="0"/>
              <a:t> = V</a:t>
            </a:r>
            <a:r>
              <a:rPr lang="en-US" sz="2000" b="1" i="0" u="none" strike="noStrike" baseline="-25000"/>
              <a:t>IN(nom)</a:t>
            </a:r>
            <a:endParaRPr lang="en-US" sz="2000">
              <a:latin typeface="Arial" pitchFamily="34" charset="0"/>
              <a:cs typeface="Arial" pitchFamily="34" charset="0"/>
            </a:endParaRPr>
          </a:p>
        </c:rich>
      </c:tx>
      <c:layout>
        <c:manualLayout>
          <c:xMode val="edge"/>
          <c:yMode val="edge"/>
          <c:x val="0.10084794235626206"/>
          <c:y val="2.0639566697272373E-2"/>
        </c:manualLayout>
      </c:layout>
      <c:overlay val="0"/>
      <c:spPr>
        <a:noFill/>
        <a:ln w="25400">
          <a:noFill/>
        </a:ln>
      </c:spPr>
    </c:title>
    <c:autoTitleDeleted val="0"/>
    <c:plotArea>
      <c:layout>
        <c:manualLayout>
          <c:layoutTarget val="inner"/>
          <c:xMode val="edge"/>
          <c:yMode val="edge"/>
          <c:x val="8.5540561846730284E-2"/>
          <c:y val="0.12372903654825702"/>
          <c:w val="0.82265898741455901"/>
          <c:h val="0.76068566810117366"/>
        </c:manualLayout>
      </c:layout>
      <c:lineChart>
        <c:grouping val="standard"/>
        <c:varyColors val="0"/>
        <c:ser>
          <c:idx val="0"/>
          <c:order val="0"/>
          <c:tx>
            <c:v> Efficiency</c:v>
          </c:tx>
          <c:spPr>
            <a:ln w="31750">
              <a:solidFill>
                <a:srgbClr val="FF0000"/>
              </a:solidFill>
              <a:prstDash val="solid"/>
            </a:ln>
          </c:spPr>
          <c:marker>
            <c:symbol val="none"/>
          </c:marker>
          <c:cat>
            <c:numRef>
              <c:f>Parameters!$BN$6:$BN$106</c:f>
              <c:numCache>
                <c:formatCode>0.000</c:formatCode>
                <c:ptCount val="101"/>
                <c:pt idx="0">
                  <c:v>0.3</c:v>
                </c:pt>
                <c:pt idx="1">
                  <c:v>3</c:v>
                </c:pt>
                <c:pt idx="2">
                  <c:v>6</c:v>
                </c:pt>
                <c:pt idx="3">
                  <c:v>9</c:v>
                </c:pt>
                <c:pt idx="100">
                  <c:v>300</c:v>
                </c:pt>
              </c:numCache>
            </c:numRef>
          </c:cat>
          <c:val>
            <c:numRef>
              <c:f>Parameters!$BZ$6:$BZ$106</c:f>
              <c:numCache>
                <c:formatCode>0.00</c:formatCode>
                <c:ptCount val="101"/>
                <c:pt idx="0">
                  <c:v>100</c:v>
                </c:pt>
                <c:pt idx="1">
                  <c:v>100</c:v>
                </c:pt>
                <c:pt idx="2">
                  <c:v>100</c:v>
                </c:pt>
                <c:pt idx="3">
                  <c:v>100</c:v>
                </c:pt>
                <c:pt idx="100">
                  <c:v>100</c:v>
                </c:pt>
              </c:numCache>
            </c:numRef>
          </c:val>
          <c:smooth val="1"/>
        </c:ser>
        <c:dLbls>
          <c:showLegendKey val="0"/>
          <c:showVal val="0"/>
          <c:showCatName val="0"/>
          <c:showSerName val="0"/>
          <c:showPercent val="0"/>
          <c:showBubbleSize val="0"/>
        </c:dLbls>
        <c:marker val="1"/>
        <c:smooth val="0"/>
        <c:axId val="140067968"/>
        <c:axId val="140069888"/>
      </c:lineChart>
      <c:lineChart>
        <c:grouping val="standard"/>
        <c:varyColors val="0"/>
        <c:ser>
          <c:idx val="2"/>
          <c:order val="1"/>
          <c:tx>
            <c:v> IC Total Power Loss</c:v>
          </c:tx>
          <c:spPr>
            <a:ln w="38100">
              <a:solidFill>
                <a:srgbClr val="808000"/>
              </a:solidFill>
              <a:prstDash val="sysDash"/>
            </a:ln>
          </c:spPr>
          <c:marker>
            <c:symbol val="none"/>
          </c:marker>
          <c:cat>
            <c:numRef>
              <c:f>Parameters!$BN$6:$BN$106</c:f>
              <c:numCache>
                <c:formatCode>0.000</c:formatCode>
                <c:ptCount val="101"/>
                <c:pt idx="0">
                  <c:v>0.3</c:v>
                </c:pt>
                <c:pt idx="1">
                  <c:v>3</c:v>
                </c:pt>
                <c:pt idx="2">
                  <c:v>6</c:v>
                </c:pt>
                <c:pt idx="3">
                  <c:v>9</c:v>
                </c:pt>
                <c:pt idx="100">
                  <c:v>300</c:v>
                </c:pt>
              </c:numCache>
            </c:numRef>
          </c:cat>
          <c:val>
            <c:numRef>
              <c:f>Parameters!$CA$6:$CA$106</c:f>
              <c:numCache>
                <c:formatCode>0.00</c:formatCode>
                <c:ptCount val="101"/>
                <c:pt idx="0">
                  <c:v>0</c:v>
                </c:pt>
                <c:pt idx="1">
                  <c:v>0</c:v>
                </c:pt>
                <c:pt idx="2">
                  <c:v>0</c:v>
                </c:pt>
                <c:pt idx="3">
                  <c:v>0</c:v>
                </c:pt>
                <c:pt idx="100">
                  <c:v>0</c:v>
                </c:pt>
              </c:numCache>
            </c:numRef>
          </c:val>
          <c:smooth val="0"/>
        </c:ser>
        <c:ser>
          <c:idx val="1"/>
          <c:order val="2"/>
          <c:tx>
            <c:v> LDO + Quiescent Loss</c:v>
          </c:tx>
          <c:spPr>
            <a:ln w="38100">
              <a:solidFill>
                <a:srgbClr val="002060"/>
              </a:solidFill>
              <a:prstDash val="sysDot"/>
            </a:ln>
          </c:spPr>
          <c:marker>
            <c:symbol val="none"/>
          </c:marker>
          <c:cat>
            <c:numRef>
              <c:f>Parameters!$BN$6:$BN$106</c:f>
              <c:numCache>
                <c:formatCode>0.000</c:formatCode>
                <c:ptCount val="101"/>
                <c:pt idx="0">
                  <c:v>0.3</c:v>
                </c:pt>
                <c:pt idx="1">
                  <c:v>3</c:v>
                </c:pt>
                <c:pt idx="2">
                  <c:v>6</c:v>
                </c:pt>
                <c:pt idx="3">
                  <c:v>9</c:v>
                </c:pt>
                <c:pt idx="100">
                  <c:v>300</c:v>
                </c:pt>
              </c:numCache>
            </c:numRef>
          </c:cat>
          <c:val>
            <c:numRef>
              <c:f>Parameters!$CB$6:$CB$106</c:f>
              <c:numCache>
                <c:formatCode>0.00</c:formatCode>
                <c:ptCount val="101"/>
                <c:pt idx="0">
                  <c:v>0</c:v>
                </c:pt>
                <c:pt idx="1">
                  <c:v>0</c:v>
                </c:pt>
                <c:pt idx="2">
                  <c:v>0</c:v>
                </c:pt>
                <c:pt idx="3">
                  <c:v>0</c:v>
                </c:pt>
                <c:pt idx="100">
                  <c:v>0</c:v>
                </c:pt>
              </c:numCache>
            </c:numRef>
          </c:val>
          <c:smooth val="0"/>
        </c:ser>
        <c:ser>
          <c:idx val="3"/>
          <c:order val="3"/>
          <c:tx>
            <c:v> Inductor Loss</c:v>
          </c:tx>
          <c:spPr>
            <a:ln w="38100">
              <a:solidFill>
                <a:srgbClr val="800080"/>
              </a:solidFill>
              <a:prstDash val="dash"/>
            </a:ln>
          </c:spPr>
          <c:marker>
            <c:symbol val="none"/>
          </c:marker>
          <c:cat>
            <c:numRef>
              <c:f>Parameters!$BN$6:$BN$106</c:f>
              <c:numCache>
                <c:formatCode>0.000</c:formatCode>
                <c:ptCount val="101"/>
                <c:pt idx="0">
                  <c:v>0.3</c:v>
                </c:pt>
                <c:pt idx="1">
                  <c:v>3</c:v>
                </c:pt>
                <c:pt idx="2">
                  <c:v>6</c:v>
                </c:pt>
                <c:pt idx="3">
                  <c:v>9</c:v>
                </c:pt>
                <c:pt idx="100">
                  <c:v>300</c:v>
                </c:pt>
              </c:numCache>
            </c:numRef>
          </c:cat>
          <c:val>
            <c:numRef>
              <c:f>Parameters!$CC$6:$CC$106</c:f>
              <c:numCache>
                <c:formatCode>0.00</c:formatCode>
                <c:ptCount val="101"/>
                <c:pt idx="0">
                  <c:v>0</c:v>
                </c:pt>
                <c:pt idx="1">
                  <c:v>0</c:v>
                </c:pt>
                <c:pt idx="2">
                  <c:v>0</c:v>
                </c:pt>
                <c:pt idx="3">
                  <c:v>0</c:v>
                </c:pt>
                <c:pt idx="100">
                  <c:v>0</c:v>
                </c:pt>
              </c:numCache>
            </c:numRef>
          </c:val>
          <c:smooth val="0"/>
        </c:ser>
        <c:dLbls>
          <c:showLegendKey val="0"/>
          <c:showVal val="0"/>
          <c:showCatName val="0"/>
          <c:showSerName val="0"/>
          <c:showPercent val="0"/>
          <c:showBubbleSize val="0"/>
        </c:dLbls>
        <c:marker val="1"/>
        <c:smooth val="0"/>
        <c:axId val="140082176"/>
        <c:axId val="140080256"/>
      </c:lineChart>
      <c:catAx>
        <c:axId val="140067968"/>
        <c:scaling>
          <c:orientation val="minMax"/>
        </c:scaling>
        <c:delete val="0"/>
        <c:axPos val="b"/>
        <c:majorGridlines>
          <c:spPr>
            <a:ln w="15875">
              <a:solidFill>
                <a:srgbClr val="969696"/>
              </a:solidFill>
              <a:prstDash val="sysDash"/>
            </a:ln>
          </c:spPr>
        </c:majorGridlines>
        <c:title>
          <c:tx>
            <c:rich>
              <a:bodyPr/>
              <a:lstStyle/>
              <a:p>
                <a:pPr>
                  <a:defRPr sz="1300" b="1" i="0" u="none" strike="noStrike" baseline="0">
                    <a:solidFill>
                      <a:sysClr val="windowText" lastClr="000000"/>
                    </a:solidFill>
                    <a:latin typeface="Arial" pitchFamily="34" charset="0"/>
                    <a:ea typeface="Calibri"/>
                    <a:cs typeface="Arial" pitchFamily="34" charset="0"/>
                  </a:defRPr>
                </a:pPr>
                <a:r>
                  <a:rPr lang="en-US" sz="1300">
                    <a:solidFill>
                      <a:sysClr val="windowText" lastClr="000000"/>
                    </a:solidFill>
                    <a:latin typeface="Arial" pitchFamily="34" charset="0"/>
                    <a:cs typeface="Arial" pitchFamily="34" charset="0"/>
                  </a:rPr>
                  <a:t>Load Current (mA)</a:t>
                </a:r>
              </a:p>
            </c:rich>
          </c:tx>
          <c:layout>
            <c:manualLayout>
              <c:xMode val="edge"/>
              <c:yMode val="edge"/>
              <c:x val="0.41625343343709942"/>
              <c:y val="0.94571913573731337"/>
            </c:manualLayout>
          </c:layout>
          <c:overlay val="0"/>
          <c:spPr>
            <a:noFill/>
            <a:ln w="25400">
              <a:noFill/>
            </a:ln>
          </c:spPr>
        </c:title>
        <c:numFmt formatCode="0" sourceLinked="0"/>
        <c:majorTickMark val="in"/>
        <c:minorTickMark val="none"/>
        <c:tickLblPos val="nextTo"/>
        <c:spPr>
          <a:ln w="3175">
            <a:solidFill>
              <a:srgbClr val="000000"/>
            </a:solidFill>
            <a:prstDash val="solid"/>
          </a:ln>
        </c:spPr>
        <c:txPr>
          <a:bodyPr rot="0" vert="horz"/>
          <a:lstStyle/>
          <a:p>
            <a:pPr>
              <a:defRPr sz="1100" b="1" i="0" u="none" strike="noStrike" baseline="0">
                <a:solidFill>
                  <a:srgbClr val="000000"/>
                </a:solidFill>
                <a:latin typeface="Arial" pitchFamily="34" charset="0"/>
                <a:ea typeface="Calibri"/>
                <a:cs typeface="Arial" pitchFamily="34" charset="0"/>
              </a:defRPr>
            </a:pPr>
            <a:endParaRPr lang="ko-KR"/>
          </a:p>
        </c:txPr>
        <c:crossAx val="140069888"/>
        <c:crosses val="autoZero"/>
        <c:auto val="1"/>
        <c:lblAlgn val="ctr"/>
        <c:lblOffset val="100"/>
        <c:tickLblSkip val="20"/>
        <c:tickMarkSkip val="20"/>
        <c:noMultiLvlLbl val="0"/>
      </c:catAx>
      <c:valAx>
        <c:axId val="140069888"/>
        <c:scaling>
          <c:orientation val="minMax"/>
          <c:max val="95"/>
          <c:min val="65"/>
        </c:scaling>
        <c:delete val="0"/>
        <c:axPos val="l"/>
        <c:majorGridlines>
          <c:spPr>
            <a:ln w="15875">
              <a:solidFill>
                <a:srgbClr val="808080"/>
              </a:solidFill>
              <a:prstDash val="solid"/>
            </a:ln>
          </c:spPr>
        </c:majorGridlines>
        <c:minorGridlines/>
        <c:title>
          <c:tx>
            <c:rich>
              <a:bodyPr/>
              <a:lstStyle/>
              <a:p>
                <a:pPr>
                  <a:defRPr sz="1400" b="1" i="0" u="none" strike="noStrike" baseline="0">
                    <a:solidFill>
                      <a:srgbClr val="FF0000"/>
                    </a:solidFill>
                    <a:latin typeface="Arial" pitchFamily="34" charset="0"/>
                    <a:ea typeface="Calibri"/>
                    <a:cs typeface="Arial" pitchFamily="34" charset="0"/>
                  </a:defRPr>
                </a:pPr>
                <a:r>
                  <a:rPr lang="en-US" sz="1400" b="1">
                    <a:solidFill>
                      <a:srgbClr val="FF0000"/>
                    </a:solidFill>
                    <a:latin typeface="Arial" pitchFamily="34" charset="0"/>
                    <a:cs typeface="Arial" pitchFamily="34" charset="0"/>
                  </a:rPr>
                  <a:t>Efficiency (%)</a:t>
                </a:r>
              </a:p>
            </c:rich>
          </c:tx>
          <c:layout>
            <c:manualLayout>
              <c:xMode val="edge"/>
              <c:yMode val="edge"/>
              <c:x val="1.2871858674081443E-2"/>
              <c:y val="0.37638177915688398"/>
            </c:manualLayout>
          </c:layout>
          <c:overlay val="0"/>
          <c:spPr>
            <a:noFill/>
            <a:ln w="25400">
              <a:noFill/>
            </a:ln>
          </c:spPr>
        </c:title>
        <c:numFmt formatCode="#,##0" sourceLinked="0"/>
        <c:majorTickMark val="out"/>
        <c:minorTickMark val="out"/>
        <c:tickLblPos val="nextTo"/>
        <c:spPr>
          <a:ln w="3175">
            <a:solidFill>
              <a:srgbClr val="000000"/>
            </a:solidFill>
            <a:prstDash val="solid"/>
          </a:ln>
        </c:spPr>
        <c:txPr>
          <a:bodyPr rot="0" vert="horz"/>
          <a:lstStyle/>
          <a:p>
            <a:pPr>
              <a:defRPr sz="1100" b="1" i="0" u="none" strike="noStrike" baseline="0">
                <a:solidFill>
                  <a:srgbClr val="FF0000"/>
                </a:solidFill>
                <a:latin typeface="Arial" pitchFamily="34" charset="0"/>
                <a:ea typeface="Calibri"/>
                <a:cs typeface="Arial" pitchFamily="34" charset="0"/>
              </a:defRPr>
            </a:pPr>
            <a:endParaRPr lang="ko-KR"/>
          </a:p>
        </c:txPr>
        <c:crossAx val="140067968"/>
        <c:crossesAt val="0"/>
        <c:crossBetween val="between"/>
        <c:majorUnit val="5"/>
        <c:minorUnit val="2.5"/>
      </c:valAx>
      <c:valAx>
        <c:axId val="140080256"/>
        <c:scaling>
          <c:orientation val="minMax"/>
        </c:scaling>
        <c:delete val="0"/>
        <c:axPos val="r"/>
        <c:title>
          <c:tx>
            <c:rich>
              <a:bodyPr rot="-5400000" vert="horz"/>
              <a:lstStyle/>
              <a:p>
                <a:pPr>
                  <a:defRPr sz="1400" b="1">
                    <a:solidFill>
                      <a:srgbClr val="0000FF"/>
                    </a:solidFill>
                  </a:defRPr>
                </a:pPr>
                <a:r>
                  <a:rPr lang="en-US" sz="1400" b="1">
                    <a:solidFill>
                      <a:srgbClr val="0000FF"/>
                    </a:solidFill>
                  </a:rPr>
                  <a:t>Power Loss (mW)</a:t>
                </a:r>
              </a:p>
            </c:rich>
          </c:tx>
          <c:layout>
            <c:manualLayout>
              <c:xMode val="edge"/>
              <c:yMode val="edge"/>
              <c:x val="0.95720616195060426"/>
              <c:y val="0.34716258649486992"/>
            </c:manualLayout>
          </c:layout>
          <c:overlay val="0"/>
        </c:title>
        <c:numFmt formatCode="0" sourceLinked="0"/>
        <c:majorTickMark val="out"/>
        <c:minorTickMark val="none"/>
        <c:tickLblPos val="nextTo"/>
        <c:txPr>
          <a:bodyPr/>
          <a:lstStyle/>
          <a:p>
            <a:pPr>
              <a:defRPr sz="1100" b="1">
                <a:solidFill>
                  <a:srgbClr val="0000FF"/>
                </a:solidFill>
              </a:defRPr>
            </a:pPr>
            <a:endParaRPr lang="ko-KR"/>
          </a:p>
        </c:txPr>
        <c:crossAx val="140082176"/>
        <c:crosses val="max"/>
        <c:crossBetween val="between"/>
      </c:valAx>
      <c:catAx>
        <c:axId val="140082176"/>
        <c:scaling>
          <c:orientation val="minMax"/>
        </c:scaling>
        <c:delete val="1"/>
        <c:axPos val="b"/>
        <c:numFmt formatCode="0.000" sourceLinked="1"/>
        <c:majorTickMark val="out"/>
        <c:minorTickMark val="none"/>
        <c:tickLblPos val="nextTo"/>
        <c:crossAx val="140080256"/>
        <c:crosses val="autoZero"/>
        <c:auto val="1"/>
        <c:lblAlgn val="ctr"/>
        <c:lblOffset val="100"/>
        <c:noMultiLvlLbl val="0"/>
      </c:catAx>
      <c:spPr>
        <a:noFill/>
        <a:ln w="25400">
          <a:noFill/>
        </a:ln>
      </c:spPr>
    </c:plotArea>
    <c:legend>
      <c:legendPos val="t"/>
      <c:layout>
        <c:manualLayout>
          <c:xMode val="edge"/>
          <c:yMode val="edge"/>
          <c:x val="0.38866500767592732"/>
          <c:y val="1.1892546194234431E-2"/>
          <c:w val="0.61133499232407273"/>
          <c:h val="9.7234170816987084E-2"/>
        </c:manualLayout>
      </c:layout>
      <c:overlay val="0"/>
      <c:spPr>
        <a:solidFill>
          <a:srgbClr val="FFFFFF"/>
        </a:solidFill>
        <a:ln w="25400">
          <a:noFill/>
        </a:ln>
      </c:spPr>
      <c:txPr>
        <a:bodyPr/>
        <a:lstStyle/>
        <a:p>
          <a:pPr>
            <a:defRPr sz="1200" b="0" i="0" u="none" strike="noStrike" baseline="0">
              <a:solidFill>
                <a:srgbClr val="000000"/>
              </a:solidFill>
              <a:latin typeface="Arial" pitchFamily="34" charset="0"/>
              <a:ea typeface="Calibri"/>
              <a:cs typeface="Arial" pitchFamily="34" charset="0"/>
            </a:defRPr>
          </a:pPr>
          <a:endParaRPr lang="ko-KR"/>
        </a:p>
      </c:txPr>
    </c:legend>
    <c:plotVisOnly val="1"/>
    <c:dispBlanksAs val="gap"/>
    <c:showDLblsOverMax val="0"/>
  </c:chart>
  <c:spPr>
    <a:solidFill>
      <a:schemeClr val="bg1"/>
    </a:solidFill>
    <a:ln w="9525">
      <a:solidFill>
        <a:srgbClr val="808080"/>
      </a:solidFill>
    </a:ln>
  </c:spPr>
  <c:txPr>
    <a:bodyPr/>
    <a:lstStyle/>
    <a:p>
      <a:pPr>
        <a:defRPr sz="850" b="0" i="0" u="none" strike="noStrike" baseline="0">
          <a:solidFill>
            <a:srgbClr val="000000"/>
          </a:solidFill>
          <a:latin typeface="Arial"/>
          <a:ea typeface="Arial"/>
          <a:cs typeface="Arial"/>
        </a:defRPr>
      </a:pPr>
      <a:endParaRPr lang="ko-KR"/>
    </a:p>
  </c:txPr>
  <c:printSettings>
    <c:headerFooter alignWithMargins="0"/>
    <c:pageMargins b="1" l="0.75000000000000666" r="0.75000000000000666" t="1" header="0.5" footer="0.5"/>
    <c:pageSetup paperSize="5"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c:date1904 val="0"/>
  <c:lang val="ko-K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b="1" i="0" u="none" strike="noStrike" baseline="0">
                <a:solidFill>
                  <a:srgbClr val="000000"/>
                </a:solidFill>
                <a:latin typeface="Arial" pitchFamily="34" charset="0"/>
                <a:ea typeface="Calibri"/>
                <a:cs typeface="Arial" pitchFamily="34" charset="0"/>
              </a:defRPr>
            </a:pPr>
            <a:r>
              <a:rPr lang="en-US" sz="2000">
                <a:latin typeface="Arial" pitchFamily="34" charset="0"/>
                <a:cs typeface="Arial" pitchFamily="34" charset="0"/>
                <a:sym typeface="Symbol"/>
              </a:rPr>
              <a:t></a:t>
            </a:r>
            <a:r>
              <a:rPr lang="en-US" sz="2000" b="1" i="0" u="none" strike="noStrike" baseline="0"/>
              <a:t>, V</a:t>
            </a:r>
            <a:r>
              <a:rPr lang="en-US" sz="2000" b="1" i="0" u="none" strike="noStrike" baseline="-25000"/>
              <a:t>IN</a:t>
            </a:r>
            <a:r>
              <a:rPr lang="en-US" sz="2000" b="1" i="0" u="none" strike="noStrike" baseline="0"/>
              <a:t> = V</a:t>
            </a:r>
            <a:r>
              <a:rPr lang="en-US" sz="2000" b="1" i="0" u="none" strike="noStrike" baseline="-25000"/>
              <a:t>IN(nom)</a:t>
            </a:r>
            <a:endParaRPr lang="en-US" sz="2000">
              <a:latin typeface="Arial" pitchFamily="34" charset="0"/>
              <a:cs typeface="Arial" pitchFamily="34" charset="0"/>
            </a:endParaRPr>
          </a:p>
        </c:rich>
      </c:tx>
      <c:layout>
        <c:manualLayout>
          <c:xMode val="edge"/>
          <c:yMode val="edge"/>
          <c:x val="0.10084794235626206"/>
          <c:y val="2.0639566697272373E-2"/>
        </c:manualLayout>
      </c:layout>
      <c:overlay val="0"/>
      <c:spPr>
        <a:noFill/>
        <a:ln w="25400">
          <a:noFill/>
        </a:ln>
      </c:spPr>
    </c:title>
    <c:autoTitleDeleted val="0"/>
    <c:plotArea>
      <c:layout>
        <c:manualLayout>
          <c:layoutTarget val="inner"/>
          <c:xMode val="edge"/>
          <c:yMode val="edge"/>
          <c:x val="8.5540561846730284E-2"/>
          <c:y val="0.12372903654825702"/>
          <c:w val="0.82265898741455901"/>
          <c:h val="0.76068566810117366"/>
        </c:manualLayout>
      </c:layout>
      <c:scatterChart>
        <c:scatterStyle val="smoothMarker"/>
        <c:varyColors val="0"/>
        <c:ser>
          <c:idx val="0"/>
          <c:order val="0"/>
          <c:tx>
            <c:v> Efficiency</c:v>
          </c:tx>
          <c:spPr>
            <a:ln w="31750">
              <a:solidFill>
                <a:srgbClr val="FF0000"/>
              </a:solidFill>
              <a:prstDash val="solid"/>
            </a:ln>
          </c:spPr>
          <c:marker>
            <c:symbol val="none"/>
          </c:marker>
          <c:xVal>
            <c:numRef>
              <c:f>Parameters!$BN$6:$BN$106</c:f>
              <c:numCache>
                <c:formatCode>0.000</c:formatCode>
                <c:ptCount val="101"/>
                <c:pt idx="0">
                  <c:v>0.3</c:v>
                </c:pt>
                <c:pt idx="1">
                  <c:v>3</c:v>
                </c:pt>
                <c:pt idx="2">
                  <c:v>6</c:v>
                </c:pt>
                <c:pt idx="3">
                  <c:v>9</c:v>
                </c:pt>
                <c:pt idx="100">
                  <c:v>300</c:v>
                </c:pt>
              </c:numCache>
            </c:numRef>
          </c:xVal>
          <c:yVal>
            <c:numRef>
              <c:f>Parameters!$BZ$6:$BZ$106</c:f>
              <c:numCache>
                <c:formatCode>0.00</c:formatCode>
                <c:ptCount val="101"/>
                <c:pt idx="0">
                  <c:v>100</c:v>
                </c:pt>
                <c:pt idx="1">
                  <c:v>100</c:v>
                </c:pt>
                <c:pt idx="2">
                  <c:v>100</c:v>
                </c:pt>
                <c:pt idx="3">
                  <c:v>100</c:v>
                </c:pt>
                <c:pt idx="100">
                  <c:v>100</c:v>
                </c:pt>
              </c:numCache>
            </c:numRef>
          </c:yVal>
          <c:smooth val="1"/>
        </c:ser>
        <c:dLbls>
          <c:showLegendKey val="0"/>
          <c:showVal val="0"/>
          <c:showCatName val="0"/>
          <c:showSerName val="0"/>
          <c:showPercent val="0"/>
          <c:showBubbleSize val="0"/>
        </c:dLbls>
        <c:axId val="140213248"/>
        <c:axId val="140219520"/>
      </c:scatterChart>
      <c:scatterChart>
        <c:scatterStyle val="smoothMarker"/>
        <c:varyColors val="0"/>
        <c:ser>
          <c:idx val="2"/>
          <c:order val="1"/>
          <c:tx>
            <c:v> IC Total Power Loss</c:v>
          </c:tx>
          <c:spPr>
            <a:ln w="38100">
              <a:solidFill>
                <a:srgbClr val="808000"/>
              </a:solidFill>
              <a:prstDash val="sysDash"/>
            </a:ln>
          </c:spPr>
          <c:marker>
            <c:symbol val="none"/>
          </c:marker>
          <c:xVal>
            <c:numRef>
              <c:f>Parameters!$BN$6:$BN$106</c:f>
              <c:numCache>
                <c:formatCode>0.000</c:formatCode>
                <c:ptCount val="101"/>
                <c:pt idx="0">
                  <c:v>0.3</c:v>
                </c:pt>
                <c:pt idx="1">
                  <c:v>3</c:v>
                </c:pt>
                <c:pt idx="2">
                  <c:v>6</c:v>
                </c:pt>
                <c:pt idx="3">
                  <c:v>9</c:v>
                </c:pt>
                <c:pt idx="100">
                  <c:v>300</c:v>
                </c:pt>
              </c:numCache>
            </c:numRef>
          </c:xVal>
          <c:yVal>
            <c:numRef>
              <c:f>Parameters!$CA$6:$CA$106</c:f>
              <c:numCache>
                <c:formatCode>0.00</c:formatCode>
                <c:ptCount val="101"/>
                <c:pt idx="0">
                  <c:v>0</c:v>
                </c:pt>
                <c:pt idx="1">
                  <c:v>0</c:v>
                </c:pt>
                <c:pt idx="2">
                  <c:v>0</c:v>
                </c:pt>
                <c:pt idx="3">
                  <c:v>0</c:v>
                </c:pt>
                <c:pt idx="100">
                  <c:v>0</c:v>
                </c:pt>
              </c:numCache>
            </c:numRef>
          </c:yVal>
          <c:smooth val="1"/>
        </c:ser>
        <c:ser>
          <c:idx val="1"/>
          <c:order val="2"/>
          <c:tx>
            <c:v> LDO + Quiescent Loss</c:v>
          </c:tx>
          <c:spPr>
            <a:ln w="38100">
              <a:solidFill>
                <a:srgbClr val="002060"/>
              </a:solidFill>
              <a:prstDash val="sysDot"/>
            </a:ln>
          </c:spPr>
          <c:marker>
            <c:symbol val="none"/>
          </c:marker>
          <c:xVal>
            <c:numRef>
              <c:f>Parameters!$BN$6:$BN$106</c:f>
              <c:numCache>
                <c:formatCode>0.000</c:formatCode>
                <c:ptCount val="101"/>
                <c:pt idx="0">
                  <c:v>0.3</c:v>
                </c:pt>
                <c:pt idx="1">
                  <c:v>3</c:v>
                </c:pt>
                <c:pt idx="2">
                  <c:v>6</c:v>
                </c:pt>
                <c:pt idx="3">
                  <c:v>9</c:v>
                </c:pt>
                <c:pt idx="100">
                  <c:v>300</c:v>
                </c:pt>
              </c:numCache>
            </c:numRef>
          </c:xVal>
          <c:yVal>
            <c:numRef>
              <c:f>Parameters!$CB$6:$CB$106</c:f>
              <c:numCache>
                <c:formatCode>0.00</c:formatCode>
                <c:ptCount val="101"/>
                <c:pt idx="0">
                  <c:v>0</c:v>
                </c:pt>
                <c:pt idx="1">
                  <c:v>0</c:v>
                </c:pt>
                <c:pt idx="2">
                  <c:v>0</c:v>
                </c:pt>
                <c:pt idx="3">
                  <c:v>0</c:v>
                </c:pt>
                <c:pt idx="100">
                  <c:v>0</c:v>
                </c:pt>
              </c:numCache>
            </c:numRef>
          </c:yVal>
          <c:smooth val="1"/>
        </c:ser>
        <c:ser>
          <c:idx val="3"/>
          <c:order val="3"/>
          <c:tx>
            <c:v> Inductor Loss</c:v>
          </c:tx>
          <c:spPr>
            <a:ln w="38100">
              <a:solidFill>
                <a:srgbClr val="800080"/>
              </a:solidFill>
              <a:prstDash val="dash"/>
            </a:ln>
          </c:spPr>
          <c:marker>
            <c:symbol val="none"/>
          </c:marker>
          <c:xVal>
            <c:numRef>
              <c:f>Parameters!$BN$6:$BN$106</c:f>
              <c:numCache>
                <c:formatCode>0.000</c:formatCode>
                <c:ptCount val="101"/>
                <c:pt idx="0">
                  <c:v>0.3</c:v>
                </c:pt>
                <c:pt idx="1">
                  <c:v>3</c:v>
                </c:pt>
                <c:pt idx="2">
                  <c:v>6</c:v>
                </c:pt>
                <c:pt idx="3">
                  <c:v>9</c:v>
                </c:pt>
                <c:pt idx="100">
                  <c:v>300</c:v>
                </c:pt>
              </c:numCache>
            </c:numRef>
          </c:xVal>
          <c:yVal>
            <c:numRef>
              <c:f>Parameters!$CC$6:$CC$106</c:f>
              <c:numCache>
                <c:formatCode>0.00</c:formatCode>
                <c:ptCount val="101"/>
                <c:pt idx="0">
                  <c:v>0</c:v>
                </c:pt>
                <c:pt idx="1">
                  <c:v>0</c:v>
                </c:pt>
                <c:pt idx="2">
                  <c:v>0</c:v>
                </c:pt>
                <c:pt idx="3">
                  <c:v>0</c:v>
                </c:pt>
                <c:pt idx="100">
                  <c:v>0</c:v>
                </c:pt>
              </c:numCache>
            </c:numRef>
          </c:yVal>
          <c:smooth val="1"/>
        </c:ser>
        <c:dLbls>
          <c:showLegendKey val="0"/>
          <c:showVal val="0"/>
          <c:showCatName val="0"/>
          <c:showSerName val="0"/>
          <c:showPercent val="0"/>
          <c:showBubbleSize val="0"/>
        </c:dLbls>
        <c:axId val="140231808"/>
        <c:axId val="140221440"/>
      </c:scatterChart>
      <c:valAx>
        <c:axId val="140213248"/>
        <c:scaling>
          <c:logBase val="10"/>
          <c:orientation val="minMax"/>
          <c:min val="0.1"/>
        </c:scaling>
        <c:delete val="0"/>
        <c:axPos val="b"/>
        <c:majorGridlines>
          <c:spPr>
            <a:ln w="15875">
              <a:solidFill>
                <a:srgbClr val="969696"/>
              </a:solidFill>
              <a:prstDash val="sysDash"/>
            </a:ln>
          </c:spPr>
        </c:majorGridlines>
        <c:title>
          <c:tx>
            <c:rich>
              <a:bodyPr/>
              <a:lstStyle/>
              <a:p>
                <a:pPr>
                  <a:defRPr sz="1300" b="1" i="0" u="none" strike="noStrike" baseline="0">
                    <a:solidFill>
                      <a:sysClr val="windowText" lastClr="000000"/>
                    </a:solidFill>
                    <a:latin typeface="Arial" pitchFamily="34" charset="0"/>
                    <a:ea typeface="Calibri"/>
                    <a:cs typeface="Arial" pitchFamily="34" charset="0"/>
                  </a:defRPr>
                </a:pPr>
                <a:r>
                  <a:rPr lang="en-US" sz="1300">
                    <a:solidFill>
                      <a:sysClr val="windowText" lastClr="000000"/>
                    </a:solidFill>
                    <a:latin typeface="Arial" pitchFamily="34" charset="0"/>
                    <a:cs typeface="Arial" pitchFamily="34" charset="0"/>
                  </a:rPr>
                  <a:t>Load Current (mA)</a:t>
                </a:r>
              </a:p>
            </c:rich>
          </c:tx>
          <c:layout>
            <c:manualLayout>
              <c:xMode val="edge"/>
              <c:yMode val="edge"/>
              <c:x val="0.41625343343709942"/>
              <c:y val="0.94571913573731337"/>
            </c:manualLayout>
          </c:layout>
          <c:overlay val="0"/>
          <c:spPr>
            <a:noFill/>
            <a:ln w="25400">
              <a:noFill/>
            </a:ln>
          </c:spPr>
        </c:title>
        <c:numFmt formatCode="General" sourceLinked="0"/>
        <c:majorTickMark val="in"/>
        <c:minorTickMark val="none"/>
        <c:tickLblPos val="nextTo"/>
        <c:spPr>
          <a:ln w="3175">
            <a:solidFill>
              <a:srgbClr val="000000"/>
            </a:solidFill>
            <a:prstDash val="solid"/>
          </a:ln>
        </c:spPr>
        <c:txPr>
          <a:bodyPr rot="0" vert="horz"/>
          <a:lstStyle/>
          <a:p>
            <a:pPr>
              <a:defRPr sz="1100" b="1" i="0" u="none" strike="noStrike" baseline="0">
                <a:solidFill>
                  <a:srgbClr val="000000"/>
                </a:solidFill>
                <a:latin typeface="Arial" pitchFamily="34" charset="0"/>
                <a:ea typeface="Calibri"/>
                <a:cs typeface="Arial" pitchFamily="34" charset="0"/>
              </a:defRPr>
            </a:pPr>
            <a:endParaRPr lang="ko-KR"/>
          </a:p>
        </c:txPr>
        <c:crossAx val="140219520"/>
        <c:crosses val="autoZero"/>
        <c:crossBetween val="midCat"/>
      </c:valAx>
      <c:valAx>
        <c:axId val="140219520"/>
        <c:scaling>
          <c:orientation val="minMax"/>
          <c:max val="95"/>
          <c:min val="60"/>
        </c:scaling>
        <c:delete val="0"/>
        <c:axPos val="l"/>
        <c:majorGridlines>
          <c:spPr>
            <a:ln w="15875">
              <a:solidFill>
                <a:srgbClr val="808080"/>
              </a:solidFill>
              <a:prstDash val="solid"/>
            </a:ln>
          </c:spPr>
        </c:majorGridlines>
        <c:minorGridlines/>
        <c:title>
          <c:tx>
            <c:rich>
              <a:bodyPr/>
              <a:lstStyle/>
              <a:p>
                <a:pPr>
                  <a:defRPr sz="1400" b="1" i="0" u="none" strike="noStrike" baseline="0">
                    <a:solidFill>
                      <a:srgbClr val="FF0000"/>
                    </a:solidFill>
                    <a:latin typeface="Arial" pitchFamily="34" charset="0"/>
                    <a:ea typeface="Calibri"/>
                    <a:cs typeface="Arial" pitchFamily="34" charset="0"/>
                  </a:defRPr>
                </a:pPr>
                <a:r>
                  <a:rPr lang="en-US" sz="1400" b="1">
                    <a:solidFill>
                      <a:srgbClr val="FF0000"/>
                    </a:solidFill>
                    <a:latin typeface="Arial" pitchFamily="34" charset="0"/>
                    <a:cs typeface="Arial" pitchFamily="34" charset="0"/>
                  </a:rPr>
                  <a:t>Efficiency (%)</a:t>
                </a:r>
              </a:p>
            </c:rich>
          </c:tx>
          <c:layout>
            <c:manualLayout>
              <c:xMode val="edge"/>
              <c:yMode val="edge"/>
              <c:x val="1.2871858674081443E-2"/>
              <c:y val="0.37638177915688398"/>
            </c:manualLayout>
          </c:layout>
          <c:overlay val="0"/>
          <c:spPr>
            <a:noFill/>
            <a:ln w="25400">
              <a:noFill/>
            </a:ln>
          </c:spPr>
        </c:title>
        <c:numFmt formatCode="#,##0" sourceLinked="0"/>
        <c:majorTickMark val="out"/>
        <c:minorTickMark val="out"/>
        <c:tickLblPos val="nextTo"/>
        <c:spPr>
          <a:ln w="3175">
            <a:solidFill>
              <a:srgbClr val="000000"/>
            </a:solidFill>
            <a:prstDash val="solid"/>
          </a:ln>
        </c:spPr>
        <c:txPr>
          <a:bodyPr rot="0" vert="horz"/>
          <a:lstStyle/>
          <a:p>
            <a:pPr>
              <a:defRPr sz="1100" b="1" i="0" u="none" strike="noStrike" baseline="0">
                <a:solidFill>
                  <a:srgbClr val="FF0000"/>
                </a:solidFill>
                <a:latin typeface="Arial" pitchFamily="34" charset="0"/>
                <a:ea typeface="Calibri"/>
                <a:cs typeface="Arial" pitchFamily="34" charset="0"/>
              </a:defRPr>
            </a:pPr>
            <a:endParaRPr lang="ko-KR"/>
          </a:p>
        </c:txPr>
        <c:crossAx val="140213248"/>
        <c:crossesAt val="0"/>
        <c:crossBetween val="midCat"/>
        <c:majorUnit val="5"/>
        <c:minorUnit val="2.5"/>
      </c:valAx>
      <c:valAx>
        <c:axId val="140221440"/>
        <c:scaling>
          <c:orientation val="minMax"/>
        </c:scaling>
        <c:delete val="0"/>
        <c:axPos val="r"/>
        <c:title>
          <c:tx>
            <c:rich>
              <a:bodyPr rot="-5400000" vert="horz"/>
              <a:lstStyle/>
              <a:p>
                <a:pPr>
                  <a:defRPr sz="1400" b="1">
                    <a:solidFill>
                      <a:srgbClr val="0000FF"/>
                    </a:solidFill>
                  </a:defRPr>
                </a:pPr>
                <a:r>
                  <a:rPr lang="en-US" sz="1400" b="1">
                    <a:solidFill>
                      <a:srgbClr val="0000FF"/>
                    </a:solidFill>
                  </a:rPr>
                  <a:t>Power Loss (mW)</a:t>
                </a:r>
              </a:p>
            </c:rich>
          </c:tx>
          <c:layout>
            <c:manualLayout>
              <c:xMode val="edge"/>
              <c:yMode val="edge"/>
              <c:x val="0.95563568688189593"/>
              <c:y val="0.33988985922214265"/>
            </c:manualLayout>
          </c:layout>
          <c:overlay val="0"/>
        </c:title>
        <c:numFmt formatCode="0" sourceLinked="0"/>
        <c:majorTickMark val="out"/>
        <c:minorTickMark val="none"/>
        <c:tickLblPos val="nextTo"/>
        <c:txPr>
          <a:bodyPr/>
          <a:lstStyle/>
          <a:p>
            <a:pPr>
              <a:defRPr sz="1100" b="1">
                <a:solidFill>
                  <a:srgbClr val="0000FF"/>
                </a:solidFill>
              </a:defRPr>
            </a:pPr>
            <a:endParaRPr lang="ko-KR"/>
          </a:p>
        </c:txPr>
        <c:crossAx val="140231808"/>
        <c:crosses val="max"/>
        <c:crossBetween val="midCat"/>
      </c:valAx>
      <c:valAx>
        <c:axId val="140231808"/>
        <c:scaling>
          <c:logBase val="10"/>
          <c:orientation val="minMax"/>
        </c:scaling>
        <c:delete val="1"/>
        <c:axPos val="b"/>
        <c:numFmt formatCode="0.000" sourceLinked="1"/>
        <c:majorTickMark val="out"/>
        <c:minorTickMark val="none"/>
        <c:tickLblPos val="nextTo"/>
        <c:crossAx val="140221440"/>
        <c:crosses val="autoZero"/>
        <c:crossBetween val="midCat"/>
      </c:valAx>
      <c:spPr>
        <a:noFill/>
        <a:ln w="25400">
          <a:noFill/>
        </a:ln>
      </c:spPr>
    </c:plotArea>
    <c:legend>
      <c:legendPos val="t"/>
      <c:layout>
        <c:manualLayout>
          <c:xMode val="edge"/>
          <c:yMode val="edge"/>
          <c:x val="0.38866500344700727"/>
          <c:y val="1.1892546194234431E-2"/>
          <c:w val="0.61133499655299273"/>
          <c:h val="9.2790073968026715E-2"/>
        </c:manualLayout>
      </c:layout>
      <c:overlay val="0"/>
      <c:spPr>
        <a:solidFill>
          <a:srgbClr val="FFFFFF"/>
        </a:solidFill>
        <a:ln w="25400">
          <a:noFill/>
        </a:ln>
      </c:spPr>
      <c:txPr>
        <a:bodyPr/>
        <a:lstStyle/>
        <a:p>
          <a:pPr>
            <a:defRPr sz="1200" b="0" i="0" u="none" strike="noStrike" baseline="0">
              <a:solidFill>
                <a:srgbClr val="000000"/>
              </a:solidFill>
              <a:latin typeface="Arial" pitchFamily="34" charset="0"/>
              <a:ea typeface="Calibri"/>
              <a:cs typeface="Arial" pitchFamily="34" charset="0"/>
            </a:defRPr>
          </a:pPr>
          <a:endParaRPr lang="ko-KR"/>
        </a:p>
      </c:txPr>
    </c:legend>
    <c:plotVisOnly val="1"/>
    <c:dispBlanksAs val="gap"/>
    <c:showDLblsOverMax val="0"/>
  </c:chart>
  <c:spPr>
    <a:solidFill>
      <a:schemeClr val="bg1"/>
    </a:solidFill>
    <a:ln w="9525">
      <a:solidFill>
        <a:srgbClr val="808080"/>
      </a:solidFill>
    </a:ln>
  </c:spPr>
  <c:txPr>
    <a:bodyPr/>
    <a:lstStyle/>
    <a:p>
      <a:pPr>
        <a:defRPr sz="850" b="0" i="0" u="none" strike="noStrike" baseline="0">
          <a:solidFill>
            <a:srgbClr val="000000"/>
          </a:solidFill>
          <a:latin typeface="Arial"/>
          <a:ea typeface="Arial"/>
          <a:cs typeface="Arial"/>
        </a:defRPr>
      </a:pPr>
      <a:endParaRPr lang="ko-KR"/>
    </a:p>
  </c:txPr>
  <c:printSettings>
    <c:headerFooter alignWithMargins="0"/>
    <c:pageMargins b="1" l="0.75000000000000666" r="0.75000000000000666" t="1" header="0.5" footer="0.5"/>
    <c:pageSetup paperSize="5"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c:date1904 val="0"/>
  <c:lang val="ko-K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800" b="1" i="0" baseline="0"/>
              <a:t>Breakdown of </a:t>
            </a:r>
            <a:r>
              <a:rPr lang="en-US" sz="1800" b="1" i="0" baseline="0">
                <a:solidFill>
                  <a:srgbClr val="FF0000"/>
                </a:solidFill>
              </a:rPr>
              <a:t>COT</a:t>
            </a:r>
            <a:r>
              <a:rPr lang="en-US" sz="1800" b="1" i="0" baseline="0"/>
              <a:t> Efficiency Losses (</a:t>
            </a:r>
            <a:r>
              <a:rPr lang="en-US" sz="1800" b="1" i="0" u="none" strike="noStrike" baseline="0"/>
              <a:t>I</a:t>
            </a:r>
            <a:r>
              <a:rPr lang="en-US" sz="1800" b="1" i="0" u="none" strike="noStrike" baseline="-25000"/>
              <a:t>OUT</a:t>
            </a:r>
            <a:r>
              <a:rPr lang="en-US" sz="1800" b="1" i="0" u="none" strike="noStrike" baseline="0"/>
              <a:t> = </a:t>
            </a:r>
            <a:r>
              <a:rPr lang="en-US" sz="1800" b="1" i="0" baseline="0"/>
              <a:t>1mA)</a:t>
            </a:r>
            <a:endParaRPr lang="en-US" sz="1800"/>
          </a:p>
        </c:rich>
      </c:tx>
      <c:layout>
        <c:manualLayout>
          <c:xMode val="edge"/>
          <c:yMode val="edge"/>
          <c:x val="0.32963167587477016"/>
          <c:y val="3.5906642728904876E-2"/>
        </c:manualLayout>
      </c:layout>
      <c:overlay val="0"/>
    </c:title>
    <c:autoTitleDeleted val="0"/>
    <c:plotArea>
      <c:layout>
        <c:manualLayout>
          <c:layoutTarget val="inner"/>
          <c:xMode val="edge"/>
          <c:yMode val="edge"/>
          <c:x val="9.2844202898550721E-2"/>
          <c:y val="0.14821658962288614"/>
          <c:w val="0.89442960513913661"/>
          <c:h val="0.76382419881536368"/>
        </c:manualLayout>
      </c:layout>
      <c:barChart>
        <c:barDir val="col"/>
        <c:grouping val="clustered"/>
        <c:varyColors val="0"/>
        <c:ser>
          <c:idx val="6"/>
          <c:order val="0"/>
          <c:tx>
            <c:strRef>
              <c:f>Parameters!$BA$5</c:f>
              <c:strCache>
                <c:ptCount val="1"/>
                <c:pt idx="0">
                  <c:v>High-side MOSFET Rdson %</c:v>
                </c:pt>
              </c:strCache>
            </c:strRef>
          </c:tx>
          <c:spPr>
            <a:solidFill>
              <a:srgbClr val="FF0000"/>
            </a:solidFill>
            <a:ln w="12700">
              <a:solidFill>
                <a:srgbClr val="000000"/>
              </a:solidFill>
              <a:prstDash val="solid"/>
            </a:ln>
          </c:spPr>
          <c:invertIfNegative val="0"/>
          <c:dLbls>
            <c:dLbl>
              <c:idx val="0"/>
              <c:tx>
                <c:rich>
                  <a:bodyPr/>
                  <a:lstStyle/>
                  <a:p>
                    <a:r>
                      <a:rPr lang="en-US"/>
                      <a:t>High-side MOSFET</a:t>
                    </a:r>
                  </a:p>
                  <a:p>
                    <a:r>
                      <a:rPr lang="en-US"/>
                      <a:t>Rdson</a:t>
                    </a:r>
                  </a:p>
                </c:rich>
              </c:tx>
              <c:dLblPos val="outEnd"/>
              <c:showLegendKey val="0"/>
              <c:showVal val="0"/>
              <c:showCatName val="0"/>
              <c:showSerName val="1"/>
              <c:showPercent val="0"/>
              <c:showBubbleSize val="0"/>
            </c:dLbl>
            <c:txPr>
              <a:bodyPr/>
              <a:lstStyle/>
              <a:p>
                <a:pPr>
                  <a:defRPr sz="1200" b="1"/>
                </a:pPr>
                <a:endParaRPr lang="ko-KR"/>
              </a:p>
            </c:txPr>
            <c:dLblPos val="outEnd"/>
            <c:showLegendKey val="0"/>
            <c:showVal val="0"/>
            <c:showCatName val="0"/>
            <c:showSerName val="1"/>
            <c:showPercent val="0"/>
            <c:showBubbleSize val="0"/>
            <c:showLeaderLines val="0"/>
          </c:dLbls>
          <c:val>
            <c:numRef>
              <c:f>Parameters!$BA$108</c:f>
              <c:numCache>
                <c:formatCode>0.000%</c:formatCode>
                <c:ptCount val="1"/>
                <c:pt idx="0">
                  <c:v>3.6409104085968987E-3</c:v>
                </c:pt>
              </c:numCache>
            </c:numRef>
          </c:val>
        </c:ser>
        <c:ser>
          <c:idx val="5"/>
          <c:order val="1"/>
          <c:tx>
            <c:strRef>
              <c:f>Parameters!$BD$5</c:f>
              <c:strCache>
                <c:ptCount val="1"/>
                <c:pt idx="0">
                  <c:v>High-side MOSFET Switching Loss %</c:v>
                </c:pt>
              </c:strCache>
            </c:strRef>
          </c:tx>
          <c:spPr>
            <a:solidFill>
              <a:srgbClr val="0000FF"/>
            </a:solidFill>
            <a:ln w="12700">
              <a:solidFill>
                <a:srgbClr val="000000"/>
              </a:solidFill>
              <a:prstDash val="solid"/>
            </a:ln>
          </c:spPr>
          <c:invertIfNegative val="0"/>
          <c:dLbls>
            <c:dLbl>
              <c:idx val="0"/>
              <c:layout>
                <c:manualLayout>
                  <c:x val="-9.2081031307550637E-4"/>
                  <c:y val="-7.1813285457809741E-3"/>
                </c:manualLayout>
              </c:layout>
              <c:tx>
                <c:rich>
                  <a:bodyPr/>
                  <a:lstStyle/>
                  <a:p>
                    <a:r>
                      <a:rPr lang="en-US"/>
                      <a:t>High-side MOSFET</a:t>
                    </a:r>
                  </a:p>
                  <a:p>
                    <a:r>
                      <a:rPr lang="en-US"/>
                      <a:t>Switching</a:t>
                    </a:r>
                  </a:p>
                </c:rich>
              </c:tx>
              <c:dLblPos val="outEnd"/>
              <c:showLegendKey val="0"/>
              <c:showVal val="0"/>
              <c:showCatName val="0"/>
              <c:showSerName val="1"/>
              <c:showPercent val="0"/>
              <c:showBubbleSize val="0"/>
            </c:dLbl>
            <c:txPr>
              <a:bodyPr/>
              <a:lstStyle/>
              <a:p>
                <a:pPr>
                  <a:defRPr sz="1200" b="1"/>
                </a:pPr>
                <a:endParaRPr lang="ko-KR"/>
              </a:p>
            </c:txPr>
            <c:dLblPos val="outEnd"/>
            <c:showLegendKey val="0"/>
            <c:showVal val="0"/>
            <c:showCatName val="0"/>
            <c:showSerName val="0"/>
            <c:showPercent val="0"/>
            <c:showBubbleSize val="0"/>
          </c:dLbls>
          <c:val>
            <c:numRef>
              <c:f>Parameters!$BD$108</c:f>
              <c:numCache>
                <c:formatCode>0.000%</c:formatCode>
                <c:ptCount val="1"/>
                <c:pt idx="0">
                  <c:v>4.5907837520612008E-3</c:v>
                </c:pt>
              </c:numCache>
            </c:numRef>
          </c:val>
        </c:ser>
        <c:ser>
          <c:idx val="7"/>
          <c:order val="2"/>
          <c:tx>
            <c:strRef>
              <c:f>Parameters!$BB$5</c:f>
              <c:strCache>
                <c:ptCount val="1"/>
                <c:pt idx="0">
                  <c:v>Low-side MOSFET Rdson %</c:v>
                </c:pt>
              </c:strCache>
            </c:strRef>
          </c:tx>
          <c:spPr>
            <a:solidFill>
              <a:srgbClr val="FF6600"/>
            </a:solidFill>
            <a:ln w="12700">
              <a:solidFill>
                <a:srgbClr val="000000"/>
              </a:solidFill>
              <a:prstDash val="solid"/>
            </a:ln>
          </c:spPr>
          <c:invertIfNegative val="0"/>
          <c:dLbls>
            <c:dLbl>
              <c:idx val="0"/>
              <c:tx>
                <c:rich>
                  <a:bodyPr/>
                  <a:lstStyle/>
                  <a:p>
                    <a:r>
                      <a:rPr lang="en-US" sz="1200" b="1"/>
                      <a:t>L</a:t>
                    </a:r>
                    <a:r>
                      <a:rPr lang="en-US" sz="1200"/>
                      <a:t>ow-side MOSFET</a:t>
                    </a:r>
                  </a:p>
                  <a:p>
                    <a:r>
                      <a:rPr lang="en-US" sz="1200"/>
                      <a:t>Rdson</a:t>
                    </a:r>
                  </a:p>
                </c:rich>
              </c:tx>
              <c:dLblPos val="outEnd"/>
              <c:showLegendKey val="0"/>
              <c:showVal val="1"/>
              <c:showCatName val="0"/>
              <c:showSerName val="1"/>
              <c:showPercent val="0"/>
              <c:showBubbleSize val="0"/>
            </c:dLbl>
            <c:txPr>
              <a:bodyPr/>
              <a:lstStyle/>
              <a:p>
                <a:pPr>
                  <a:defRPr b="1"/>
                </a:pPr>
                <a:endParaRPr lang="ko-KR"/>
              </a:p>
            </c:txPr>
            <c:dLblPos val="outEnd"/>
            <c:showLegendKey val="0"/>
            <c:showVal val="1"/>
            <c:showCatName val="0"/>
            <c:showSerName val="1"/>
            <c:showPercent val="0"/>
            <c:showBubbleSize val="0"/>
            <c:showLeaderLines val="0"/>
          </c:dLbls>
          <c:val>
            <c:numRef>
              <c:f>Parameters!$BB$108</c:f>
              <c:numCache>
                <c:formatCode>0.000%</c:formatCode>
                <c:ptCount val="1"/>
                <c:pt idx="0">
                  <c:v>6.5692245841190103E-3</c:v>
                </c:pt>
              </c:numCache>
            </c:numRef>
          </c:val>
        </c:ser>
        <c:ser>
          <c:idx val="3"/>
          <c:order val="3"/>
          <c:tx>
            <c:strRef>
              <c:f>Parameters!$BF$5</c:f>
              <c:strCache>
                <c:ptCount val="1"/>
                <c:pt idx="0">
                  <c:v>Deadtime Loss %</c:v>
                </c:pt>
              </c:strCache>
            </c:strRef>
          </c:tx>
          <c:spPr>
            <a:solidFill>
              <a:srgbClr val="666699"/>
            </a:solidFill>
            <a:ln w="12700">
              <a:solidFill>
                <a:srgbClr val="000000"/>
              </a:solidFill>
              <a:prstDash val="solid"/>
            </a:ln>
          </c:spPr>
          <c:invertIfNegative val="0"/>
          <c:dLbls>
            <c:dLbl>
              <c:idx val="0"/>
              <c:layout>
                <c:manualLayout>
                  <c:x val="0"/>
                  <c:y val="-9.5751047277079695E-3"/>
                </c:manualLayout>
              </c:layout>
              <c:tx>
                <c:rich>
                  <a:bodyPr/>
                  <a:lstStyle/>
                  <a:p>
                    <a:r>
                      <a:rPr lang="en-US"/>
                      <a:t>Low-side MOSFET</a:t>
                    </a:r>
                  </a:p>
                  <a:p>
                    <a:r>
                      <a:rPr lang="en-US"/>
                      <a:t>Deadtime </a:t>
                    </a:r>
                  </a:p>
                </c:rich>
              </c:tx>
              <c:dLblPos val="outEnd"/>
              <c:showLegendKey val="0"/>
              <c:showVal val="0"/>
              <c:showCatName val="0"/>
              <c:showSerName val="1"/>
              <c:showPercent val="0"/>
              <c:showBubbleSize val="0"/>
            </c:dLbl>
            <c:txPr>
              <a:bodyPr/>
              <a:lstStyle/>
              <a:p>
                <a:pPr>
                  <a:defRPr sz="1200" b="1"/>
                </a:pPr>
                <a:endParaRPr lang="ko-KR"/>
              </a:p>
            </c:txPr>
            <c:dLblPos val="outEnd"/>
            <c:showLegendKey val="0"/>
            <c:showVal val="0"/>
            <c:showCatName val="0"/>
            <c:showSerName val="1"/>
            <c:showPercent val="0"/>
            <c:showBubbleSize val="0"/>
            <c:showLeaderLines val="0"/>
          </c:dLbls>
          <c:val>
            <c:numRef>
              <c:f>Parameters!$BF$108</c:f>
              <c:numCache>
                <c:formatCode>0.000%</c:formatCode>
                <c:ptCount val="1"/>
                <c:pt idx="0">
                  <c:v>7.3751579484765363E-4</c:v>
                </c:pt>
              </c:numCache>
            </c:numRef>
          </c:val>
        </c:ser>
        <c:ser>
          <c:idx val="2"/>
          <c:order val="4"/>
          <c:tx>
            <c:strRef>
              <c:f>Parameters!$BC$5</c:f>
              <c:strCache>
                <c:ptCount val="1"/>
                <c:pt idx="0">
                  <c:v>Gate Drive (Qg) Loss from Vin %</c:v>
                </c:pt>
              </c:strCache>
            </c:strRef>
          </c:tx>
          <c:spPr>
            <a:solidFill>
              <a:srgbClr val="00FFFF"/>
            </a:solidFill>
            <a:ln w="12700">
              <a:solidFill>
                <a:srgbClr val="000000"/>
              </a:solidFill>
              <a:prstDash val="solid"/>
            </a:ln>
          </c:spPr>
          <c:invertIfNegative val="0"/>
          <c:dLbls>
            <c:dLbl>
              <c:idx val="0"/>
              <c:tx>
                <c:rich>
                  <a:bodyPr/>
                  <a:lstStyle/>
                  <a:p>
                    <a:r>
                      <a:rPr lang="en-US"/>
                      <a:t>Gate Drive (Qg)</a:t>
                    </a:r>
                  </a:p>
                  <a:p>
                    <a:r>
                      <a:rPr lang="en-US"/>
                      <a:t>Loss</a:t>
                    </a:r>
                  </a:p>
                </c:rich>
              </c:tx>
              <c:dLblPos val="outEnd"/>
              <c:showLegendKey val="0"/>
              <c:showVal val="0"/>
              <c:showCatName val="0"/>
              <c:showSerName val="1"/>
              <c:showPercent val="0"/>
              <c:showBubbleSize val="0"/>
            </c:dLbl>
            <c:txPr>
              <a:bodyPr rot="0" vert="horz"/>
              <a:lstStyle/>
              <a:p>
                <a:pPr>
                  <a:defRPr sz="1200" b="1"/>
                </a:pPr>
                <a:endParaRPr lang="ko-KR"/>
              </a:p>
            </c:txPr>
            <c:dLblPos val="outEnd"/>
            <c:showLegendKey val="0"/>
            <c:showVal val="0"/>
            <c:showCatName val="0"/>
            <c:showSerName val="0"/>
            <c:showPercent val="0"/>
            <c:showBubbleSize val="0"/>
          </c:dLbls>
          <c:val>
            <c:numRef>
              <c:f>Parameters!$BC$108</c:f>
              <c:numCache>
                <c:formatCode>0.000%</c:formatCode>
                <c:ptCount val="1"/>
                <c:pt idx="0">
                  <c:v>5.4394694205683519E-2</c:v>
                </c:pt>
              </c:numCache>
            </c:numRef>
          </c:val>
        </c:ser>
        <c:ser>
          <c:idx val="1"/>
          <c:order val="5"/>
          <c:tx>
            <c:strRef>
              <c:f>Parameters!$BE$5</c:f>
              <c:strCache>
                <c:ptCount val="1"/>
                <c:pt idx="0">
                  <c:v>Reverse Recovery &amp; Leakage Loss %</c:v>
                </c:pt>
              </c:strCache>
            </c:strRef>
          </c:tx>
          <c:invertIfNegative val="0"/>
          <c:dLbls>
            <c:dLbl>
              <c:idx val="0"/>
              <c:tx>
                <c:rich>
                  <a:bodyPr/>
                  <a:lstStyle/>
                  <a:p>
                    <a:r>
                      <a:rPr lang="en-US" sz="1200" b="1"/>
                      <a:t>Reverse Recovery</a:t>
                    </a:r>
                  </a:p>
                  <a:p>
                    <a:r>
                      <a:rPr lang="en-US" sz="1200" b="1"/>
                      <a:t>Loss</a:t>
                    </a:r>
                  </a:p>
                </c:rich>
              </c:tx>
              <c:showLegendKey val="0"/>
              <c:showVal val="0"/>
              <c:showCatName val="0"/>
              <c:showSerName val="1"/>
              <c:showPercent val="0"/>
              <c:showBubbleSize val="0"/>
            </c:dLbl>
            <c:showLegendKey val="0"/>
            <c:showVal val="0"/>
            <c:showCatName val="0"/>
            <c:showSerName val="1"/>
            <c:showPercent val="0"/>
            <c:showBubbleSize val="0"/>
            <c:showLeaderLines val="0"/>
          </c:dLbls>
          <c:val>
            <c:numRef>
              <c:f>Parameters!$BE$108</c:f>
              <c:numCache>
                <c:formatCode>0.000%</c:formatCode>
                <c:ptCount val="1"/>
                <c:pt idx="0">
                  <c:v>0</c:v>
                </c:pt>
              </c:numCache>
            </c:numRef>
          </c:val>
        </c:ser>
        <c:ser>
          <c:idx val="8"/>
          <c:order val="6"/>
          <c:tx>
            <c:strRef>
              <c:f>Parameters!$BG$5</c:f>
              <c:strCache>
                <c:ptCount val="1"/>
                <c:pt idx="0">
                  <c:v>Inductor Cu Loss %</c:v>
                </c:pt>
              </c:strCache>
            </c:strRef>
          </c:tx>
          <c:spPr>
            <a:solidFill>
              <a:srgbClr val="00FF00"/>
            </a:solidFill>
            <a:ln w="12700">
              <a:solidFill>
                <a:srgbClr val="000000"/>
              </a:solidFill>
              <a:prstDash val="solid"/>
            </a:ln>
          </c:spPr>
          <c:invertIfNegative val="0"/>
          <c:dLbls>
            <c:dLbl>
              <c:idx val="0"/>
              <c:tx>
                <c:rich>
                  <a:bodyPr/>
                  <a:lstStyle/>
                  <a:p>
                    <a:r>
                      <a:rPr lang="en-US"/>
                      <a:t>Inductor DCR</a:t>
                    </a:r>
                  </a:p>
                  <a:p>
                    <a:r>
                      <a:rPr lang="en-US"/>
                      <a:t>Loss</a:t>
                    </a:r>
                  </a:p>
                </c:rich>
              </c:tx>
              <c:showLegendKey val="0"/>
              <c:showVal val="0"/>
              <c:showCatName val="0"/>
              <c:showSerName val="1"/>
              <c:showPercent val="0"/>
              <c:showBubbleSize val="0"/>
            </c:dLbl>
            <c:txPr>
              <a:bodyPr/>
              <a:lstStyle/>
              <a:p>
                <a:pPr>
                  <a:defRPr sz="1200" b="1"/>
                </a:pPr>
                <a:endParaRPr lang="ko-KR"/>
              </a:p>
            </c:txPr>
            <c:showLegendKey val="0"/>
            <c:showVal val="0"/>
            <c:showCatName val="0"/>
            <c:showSerName val="0"/>
            <c:showPercent val="0"/>
            <c:showBubbleSize val="0"/>
          </c:dLbls>
          <c:val>
            <c:numRef>
              <c:f>Parameters!$BG$108</c:f>
              <c:numCache>
                <c:formatCode>0.000%</c:formatCode>
                <c:ptCount val="1"/>
                <c:pt idx="0">
                  <c:v>7.2151246180390156E-3</c:v>
                </c:pt>
              </c:numCache>
            </c:numRef>
          </c:val>
        </c:ser>
        <c:ser>
          <c:idx val="4"/>
          <c:order val="7"/>
          <c:tx>
            <c:strRef>
              <c:f>Parameters!$BH$5</c:f>
              <c:strCache>
                <c:ptCount val="1"/>
                <c:pt idx="0">
                  <c:v>Inductor Core Loss %</c:v>
                </c:pt>
              </c:strCache>
            </c:strRef>
          </c:tx>
          <c:spPr>
            <a:solidFill>
              <a:srgbClr val="99CC00"/>
            </a:solidFill>
            <a:ln w="12700">
              <a:solidFill>
                <a:srgbClr val="000000"/>
              </a:solidFill>
              <a:prstDash val="solid"/>
            </a:ln>
          </c:spPr>
          <c:invertIfNegative val="0"/>
          <c:dLbls>
            <c:dLbl>
              <c:idx val="0"/>
              <c:tx>
                <c:rich>
                  <a:bodyPr/>
                  <a:lstStyle/>
                  <a:p>
                    <a:r>
                      <a:rPr lang="en-US"/>
                      <a:t>Inductor Core</a:t>
                    </a:r>
                  </a:p>
                  <a:p>
                    <a:r>
                      <a:rPr lang="en-US"/>
                      <a:t>Loss</a:t>
                    </a:r>
                  </a:p>
                </c:rich>
              </c:tx>
              <c:showLegendKey val="0"/>
              <c:showVal val="0"/>
              <c:showCatName val="0"/>
              <c:showSerName val="1"/>
              <c:showPercent val="0"/>
              <c:showBubbleSize val="0"/>
            </c:dLbl>
            <c:txPr>
              <a:bodyPr/>
              <a:lstStyle/>
              <a:p>
                <a:pPr>
                  <a:defRPr sz="1200" b="1"/>
                </a:pPr>
                <a:endParaRPr lang="ko-KR"/>
              </a:p>
            </c:txPr>
            <c:showLegendKey val="0"/>
            <c:showVal val="0"/>
            <c:showCatName val="0"/>
            <c:showSerName val="0"/>
            <c:showPercent val="0"/>
            <c:showBubbleSize val="0"/>
          </c:dLbls>
          <c:val>
            <c:numRef>
              <c:f>Parameters!$BH$108</c:f>
              <c:numCache>
                <c:formatCode>0.000%</c:formatCode>
                <c:ptCount val="1"/>
                <c:pt idx="0">
                  <c:v>1.4929120352630757E-2</c:v>
                </c:pt>
              </c:numCache>
            </c:numRef>
          </c:val>
        </c:ser>
        <c:ser>
          <c:idx val="0"/>
          <c:order val="8"/>
          <c:tx>
            <c:strRef>
              <c:f>Parameters!$BJ$5</c:f>
              <c:strCache>
                <c:ptCount val="1"/>
                <c:pt idx="0">
                  <c:v>Quiescent Current Loss %</c:v>
                </c:pt>
              </c:strCache>
            </c:strRef>
          </c:tx>
          <c:invertIfNegative val="0"/>
          <c:dLbls>
            <c:dLbl>
              <c:idx val="0"/>
              <c:tx>
                <c:rich>
                  <a:bodyPr/>
                  <a:lstStyle/>
                  <a:p>
                    <a:r>
                      <a:rPr lang="en-US"/>
                      <a:t>Quiescent Current</a:t>
                    </a:r>
                  </a:p>
                  <a:p>
                    <a:r>
                      <a:rPr lang="en-US"/>
                      <a:t>Loss </a:t>
                    </a:r>
                  </a:p>
                </c:rich>
              </c:tx>
              <c:showLegendKey val="0"/>
              <c:showVal val="0"/>
              <c:showCatName val="0"/>
              <c:showSerName val="1"/>
              <c:showPercent val="0"/>
              <c:showBubbleSize val="0"/>
            </c:dLbl>
            <c:numFmt formatCode="0.0E+00" sourceLinked="0"/>
            <c:spPr>
              <a:noFill/>
            </c:spPr>
            <c:txPr>
              <a:bodyPr rot="0" vert="horz" anchor="ctr" anchorCtr="0"/>
              <a:lstStyle/>
              <a:p>
                <a:pPr>
                  <a:defRPr sz="1200" b="1"/>
                </a:pPr>
                <a:endParaRPr lang="ko-KR"/>
              </a:p>
            </c:txPr>
            <c:showLegendKey val="0"/>
            <c:showVal val="0"/>
            <c:showCatName val="0"/>
            <c:showSerName val="0"/>
            <c:showPercent val="0"/>
            <c:showBubbleSize val="0"/>
          </c:dLbls>
          <c:val>
            <c:numRef>
              <c:f>Parameters!$BJ$108</c:f>
              <c:numCache>
                <c:formatCode>0.000%</c:formatCode>
                <c:ptCount val="1"/>
                <c:pt idx="0">
                  <c:v>8.2551506228875166E-2</c:v>
                </c:pt>
              </c:numCache>
            </c:numRef>
          </c:val>
        </c:ser>
        <c:dLbls>
          <c:showLegendKey val="0"/>
          <c:showVal val="0"/>
          <c:showCatName val="0"/>
          <c:showSerName val="0"/>
          <c:showPercent val="0"/>
          <c:showBubbleSize val="0"/>
        </c:dLbls>
        <c:gapWidth val="101"/>
        <c:overlap val="-70"/>
        <c:axId val="142561280"/>
        <c:axId val="142562816"/>
      </c:barChart>
      <c:catAx>
        <c:axId val="142561280"/>
        <c:scaling>
          <c:orientation val="minMax"/>
        </c:scaling>
        <c:delete val="0"/>
        <c:axPos val="b"/>
        <c:numFmt formatCode="General" sourceLinked="1"/>
        <c:majorTickMark val="none"/>
        <c:minorTickMark val="none"/>
        <c:tickLblPos val="none"/>
        <c:spPr>
          <a:ln w="3175">
            <a:solidFill>
              <a:srgbClr val="000000"/>
            </a:solidFill>
            <a:prstDash val="solid"/>
          </a:ln>
        </c:spPr>
        <c:txPr>
          <a:bodyPr rot="0" vert="horz"/>
          <a:lstStyle/>
          <a:p>
            <a:pPr>
              <a:defRPr sz="1725" b="0" i="0" u="none" strike="noStrike" baseline="0">
                <a:solidFill>
                  <a:srgbClr val="000000"/>
                </a:solidFill>
                <a:latin typeface="Arial"/>
                <a:ea typeface="Arial"/>
                <a:cs typeface="Arial"/>
              </a:defRPr>
            </a:pPr>
            <a:endParaRPr lang="ko-KR"/>
          </a:p>
        </c:txPr>
        <c:crossAx val="142562816"/>
        <c:crossesAt val="0"/>
        <c:auto val="1"/>
        <c:lblAlgn val="ctr"/>
        <c:lblOffset val="100"/>
        <c:noMultiLvlLbl val="0"/>
      </c:catAx>
      <c:valAx>
        <c:axId val="142562816"/>
        <c:scaling>
          <c:orientation val="minMax"/>
          <c:min val="0"/>
        </c:scaling>
        <c:delete val="0"/>
        <c:axPos val="l"/>
        <c:majorGridlines>
          <c:spPr>
            <a:ln>
              <a:prstDash val="lgDash"/>
            </a:ln>
          </c:spPr>
        </c:majorGridlines>
        <c:title>
          <c:tx>
            <c:rich>
              <a:bodyPr/>
              <a:lstStyle/>
              <a:p>
                <a:pPr>
                  <a:defRPr b="1"/>
                </a:pPr>
                <a:r>
                  <a:rPr lang="en-US" b="1"/>
                  <a:t>Loss</a:t>
                </a:r>
                <a:r>
                  <a:rPr lang="en-US" b="1" baseline="0"/>
                  <a:t> Contributors</a:t>
                </a:r>
                <a:endParaRPr lang="en-US" b="1"/>
              </a:p>
            </c:rich>
          </c:tx>
          <c:layout>
            <c:manualLayout>
              <c:xMode val="edge"/>
              <c:yMode val="edge"/>
              <c:x val="9.9337306593581982E-3"/>
              <c:y val="0.30210944457795558"/>
            </c:manualLayout>
          </c:layout>
          <c:overlay val="0"/>
        </c:title>
        <c:numFmt formatCode="0.0%" sourceLinked="0"/>
        <c:majorTickMark val="out"/>
        <c:minorTickMark val="out"/>
        <c:tickLblPos val="low"/>
        <c:crossAx val="142561280"/>
        <c:crosses val="autoZero"/>
        <c:crossBetween val="between"/>
      </c:valAx>
      <c:spPr>
        <a:solidFill>
          <a:schemeClr val="bg1">
            <a:lumMod val="95000"/>
          </a:schemeClr>
        </a:solidFill>
        <a:ln w="25400">
          <a:noFill/>
        </a:ln>
      </c:spPr>
    </c:plotArea>
    <c:plotVisOnly val="1"/>
    <c:dispBlanksAs val="zero"/>
    <c:showDLblsOverMax val="0"/>
  </c:chart>
  <c:spPr>
    <a:solidFill>
      <a:srgbClr val="FFFFFF"/>
    </a:solidFill>
    <a:ln w="3175">
      <a:noFill/>
      <a:prstDash val="solid"/>
    </a:ln>
  </c:spPr>
  <c:txPr>
    <a:bodyPr/>
    <a:lstStyle/>
    <a:p>
      <a:pPr>
        <a:defRPr sz="1725" b="0" i="0" u="none" strike="noStrike" baseline="0">
          <a:solidFill>
            <a:srgbClr val="000000"/>
          </a:solidFill>
          <a:latin typeface="Arial"/>
          <a:ea typeface="Arial"/>
          <a:cs typeface="Arial"/>
        </a:defRPr>
      </a:pPr>
      <a:endParaRPr lang="ko-KR"/>
    </a:p>
  </c:txPr>
  <c:printSettings>
    <c:headerFooter alignWithMargins="0"/>
    <c:pageMargins b="1" l="0.75000000000000255" r="0.75000000000000255" t="1" header="0.5" footer="0.5"/>
    <c:pageSetup orientation="landscape"/>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ko-K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rgbClr val="000000"/>
                </a:solidFill>
                <a:latin typeface="Arial" pitchFamily="34" charset="0"/>
                <a:ea typeface="Calibri"/>
                <a:cs typeface="Arial" pitchFamily="34" charset="0"/>
              </a:defRPr>
            </a:pPr>
            <a:r>
              <a:rPr lang="en-US" sz="1800" b="1" i="0" baseline="0">
                <a:effectLst/>
                <a:sym typeface="Symbol"/>
              </a:rPr>
              <a:t></a:t>
            </a:r>
            <a:r>
              <a:rPr lang="en-US" sz="1800" b="1" i="0" baseline="0">
                <a:effectLst/>
              </a:rPr>
              <a:t>, V</a:t>
            </a:r>
            <a:r>
              <a:rPr lang="en-US" sz="1800" b="1" i="0" baseline="-25000">
                <a:effectLst/>
              </a:rPr>
              <a:t>IN</a:t>
            </a:r>
            <a:r>
              <a:rPr lang="en-US" sz="1800" b="1" i="0" baseline="0">
                <a:effectLst/>
              </a:rPr>
              <a:t> = V</a:t>
            </a:r>
            <a:r>
              <a:rPr lang="en-US" sz="1800" b="1" i="0" baseline="-25000">
                <a:effectLst/>
              </a:rPr>
              <a:t>IN(nom)</a:t>
            </a:r>
            <a:endParaRPr lang="en-US">
              <a:effectLst/>
            </a:endParaRPr>
          </a:p>
        </c:rich>
      </c:tx>
      <c:layout>
        <c:manualLayout>
          <c:xMode val="edge"/>
          <c:yMode val="edge"/>
          <c:x val="8.2586704916618195E-2"/>
          <c:y val="1.8363289746112718E-2"/>
        </c:manualLayout>
      </c:layout>
      <c:overlay val="0"/>
      <c:spPr>
        <a:noFill/>
        <a:ln w="25400">
          <a:noFill/>
        </a:ln>
      </c:spPr>
    </c:title>
    <c:autoTitleDeleted val="0"/>
    <c:plotArea>
      <c:layout>
        <c:manualLayout>
          <c:layoutTarget val="inner"/>
          <c:xMode val="edge"/>
          <c:yMode val="edge"/>
          <c:x val="7.6761884085804283E-2"/>
          <c:y val="0.12133523343001466"/>
          <c:w val="0.82579990228506128"/>
          <c:h val="0.7558980268938309"/>
        </c:manualLayout>
      </c:layout>
      <c:lineChart>
        <c:grouping val="standard"/>
        <c:varyColors val="0"/>
        <c:ser>
          <c:idx val="0"/>
          <c:order val="0"/>
          <c:tx>
            <c:v>Efficiency</c:v>
          </c:tx>
          <c:spPr>
            <a:ln w="38100">
              <a:solidFill>
                <a:srgbClr val="FF0000"/>
              </a:solidFill>
              <a:prstDash val="solid"/>
            </a:ln>
          </c:spPr>
          <c:marker>
            <c:symbol val="none"/>
          </c:marker>
          <c:cat>
            <c:numRef>
              <c:f>'Calculations - Single'!$AM$5:$AM$105</c:f>
              <c:numCache>
                <c:formatCode>0</c:formatCode>
                <c:ptCount val="101"/>
                <c:pt idx="0">
                  <c:v>1.0000000000000002E-6</c:v>
                </c:pt>
                <c:pt idx="1">
                  <c:v>3</c:v>
                </c:pt>
                <c:pt idx="2">
                  <c:v>6</c:v>
                </c:pt>
                <c:pt idx="3">
                  <c:v>9</c:v>
                </c:pt>
                <c:pt idx="4">
                  <c:v>12</c:v>
                </c:pt>
                <c:pt idx="5">
                  <c:v>15</c:v>
                </c:pt>
                <c:pt idx="6">
                  <c:v>18</c:v>
                </c:pt>
                <c:pt idx="7">
                  <c:v>21</c:v>
                </c:pt>
                <c:pt idx="8">
                  <c:v>24</c:v>
                </c:pt>
                <c:pt idx="9">
                  <c:v>27</c:v>
                </c:pt>
                <c:pt idx="10">
                  <c:v>30</c:v>
                </c:pt>
                <c:pt idx="11">
                  <c:v>33</c:v>
                </c:pt>
                <c:pt idx="12">
                  <c:v>36</c:v>
                </c:pt>
                <c:pt idx="13">
                  <c:v>39</c:v>
                </c:pt>
                <c:pt idx="14">
                  <c:v>42</c:v>
                </c:pt>
                <c:pt idx="15">
                  <c:v>45</c:v>
                </c:pt>
                <c:pt idx="16">
                  <c:v>48</c:v>
                </c:pt>
                <c:pt idx="17">
                  <c:v>51.000000000000007</c:v>
                </c:pt>
                <c:pt idx="18">
                  <c:v>54</c:v>
                </c:pt>
                <c:pt idx="19">
                  <c:v>56.999999999999993</c:v>
                </c:pt>
                <c:pt idx="20">
                  <c:v>60</c:v>
                </c:pt>
                <c:pt idx="21">
                  <c:v>63</c:v>
                </c:pt>
                <c:pt idx="22">
                  <c:v>66</c:v>
                </c:pt>
                <c:pt idx="23">
                  <c:v>69</c:v>
                </c:pt>
                <c:pt idx="24">
                  <c:v>72</c:v>
                </c:pt>
                <c:pt idx="25">
                  <c:v>75</c:v>
                </c:pt>
                <c:pt idx="26">
                  <c:v>78</c:v>
                </c:pt>
                <c:pt idx="27">
                  <c:v>81</c:v>
                </c:pt>
                <c:pt idx="28">
                  <c:v>84</c:v>
                </c:pt>
                <c:pt idx="29">
                  <c:v>87</c:v>
                </c:pt>
                <c:pt idx="30">
                  <c:v>90</c:v>
                </c:pt>
                <c:pt idx="31">
                  <c:v>93</c:v>
                </c:pt>
                <c:pt idx="32">
                  <c:v>96</c:v>
                </c:pt>
                <c:pt idx="33">
                  <c:v>99</c:v>
                </c:pt>
                <c:pt idx="34">
                  <c:v>102.00000000000001</c:v>
                </c:pt>
                <c:pt idx="35">
                  <c:v>105</c:v>
                </c:pt>
                <c:pt idx="36">
                  <c:v>108</c:v>
                </c:pt>
                <c:pt idx="37">
                  <c:v>111</c:v>
                </c:pt>
                <c:pt idx="38">
                  <c:v>113.99999999999999</c:v>
                </c:pt>
                <c:pt idx="39">
                  <c:v>117</c:v>
                </c:pt>
                <c:pt idx="40">
                  <c:v>120</c:v>
                </c:pt>
                <c:pt idx="41">
                  <c:v>122.99999999999999</c:v>
                </c:pt>
                <c:pt idx="42">
                  <c:v>126</c:v>
                </c:pt>
                <c:pt idx="43">
                  <c:v>129</c:v>
                </c:pt>
                <c:pt idx="44">
                  <c:v>132</c:v>
                </c:pt>
                <c:pt idx="45">
                  <c:v>135</c:v>
                </c:pt>
                <c:pt idx="46">
                  <c:v>138</c:v>
                </c:pt>
                <c:pt idx="47">
                  <c:v>141</c:v>
                </c:pt>
                <c:pt idx="48">
                  <c:v>144</c:v>
                </c:pt>
                <c:pt idx="49">
                  <c:v>147</c:v>
                </c:pt>
                <c:pt idx="50">
                  <c:v>150</c:v>
                </c:pt>
                <c:pt idx="51">
                  <c:v>153</c:v>
                </c:pt>
                <c:pt idx="52">
                  <c:v>156</c:v>
                </c:pt>
                <c:pt idx="53">
                  <c:v>159</c:v>
                </c:pt>
                <c:pt idx="54">
                  <c:v>162</c:v>
                </c:pt>
                <c:pt idx="55">
                  <c:v>165</c:v>
                </c:pt>
                <c:pt idx="56">
                  <c:v>168</c:v>
                </c:pt>
                <c:pt idx="57">
                  <c:v>170.99999999999997</c:v>
                </c:pt>
                <c:pt idx="58">
                  <c:v>174</c:v>
                </c:pt>
                <c:pt idx="59">
                  <c:v>177</c:v>
                </c:pt>
                <c:pt idx="60">
                  <c:v>180</c:v>
                </c:pt>
                <c:pt idx="61">
                  <c:v>183</c:v>
                </c:pt>
                <c:pt idx="62">
                  <c:v>186</c:v>
                </c:pt>
                <c:pt idx="63">
                  <c:v>189</c:v>
                </c:pt>
                <c:pt idx="64">
                  <c:v>192</c:v>
                </c:pt>
                <c:pt idx="65">
                  <c:v>195</c:v>
                </c:pt>
                <c:pt idx="66">
                  <c:v>198</c:v>
                </c:pt>
                <c:pt idx="67">
                  <c:v>201</c:v>
                </c:pt>
                <c:pt idx="68">
                  <c:v>204.00000000000003</c:v>
                </c:pt>
                <c:pt idx="69">
                  <c:v>207</c:v>
                </c:pt>
                <c:pt idx="70">
                  <c:v>210</c:v>
                </c:pt>
                <c:pt idx="71">
                  <c:v>213</c:v>
                </c:pt>
                <c:pt idx="72">
                  <c:v>216</c:v>
                </c:pt>
                <c:pt idx="73">
                  <c:v>219</c:v>
                </c:pt>
                <c:pt idx="74">
                  <c:v>222</c:v>
                </c:pt>
                <c:pt idx="75">
                  <c:v>224.99999999999997</c:v>
                </c:pt>
                <c:pt idx="76">
                  <c:v>227.99999999999997</c:v>
                </c:pt>
                <c:pt idx="77">
                  <c:v>230.99999999999997</c:v>
                </c:pt>
                <c:pt idx="78">
                  <c:v>234</c:v>
                </c:pt>
                <c:pt idx="79">
                  <c:v>237</c:v>
                </c:pt>
                <c:pt idx="80">
                  <c:v>240</c:v>
                </c:pt>
                <c:pt idx="81">
                  <c:v>243</c:v>
                </c:pt>
                <c:pt idx="82">
                  <c:v>245.99999999999997</c:v>
                </c:pt>
                <c:pt idx="83">
                  <c:v>248.99999999999997</c:v>
                </c:pt>
                <c:pt idx="84">
                  <c:v>252</c:v>
                </c:pt>
                <c:pt idx="85">
                  <c:v>255</c:v>
                </c:pt>
                <c:pt idx="86">
                  <c:v>258</c:v>
                </c:pt>
                <c:pt idx="87">
                  <c:v>261</c:v>
                </c:pt>
                <c:pt idx="88">
                  <c:v>264</c:v>
                </c:pt>
                <c:pt idx="89">
                  <c:v>267</c:v>
                </c:pt>
                <c:pt idx="90">
                  <c:v>270</c:v>
                </c:pt>
                <c:pt idx="91">
                  <c:v>273</c:v>
                </c:pt>
                <c:pt idx="92">
                  <c:v>276</c:v>
                </c:pt>
                <c:pt idx="93">
                  <c:v>279</c:v>
                </c:pt>
                <c:pt idx="94">
                  <c:v>282</c:v>
                </c:pt>
                <c:pt idx="95">
                  <c:v>285</c:v>
                </c:pt>
                <c:pt idx="96">
                  <c:v>288</c:v>
                </c:pt>
                <c:pt idx="97">
                  <c:v>291</c:v>
                </c:pt>
                <c:pt idx="98">
                  <c:v>294</c:v>
                </c:pt>
                <c:pt idx="99">
                  <c:v>297</c:v>
                </c:pt>
                <c:pt idx="100">
                  <c:v>300</c:v>
                </c:pt>
              </c:numCache>
            </c:numRef>
          </c:cat>
          <c:val>
            <c:numRef>
              <c:f>'Calculations - Single'!$BY$5:$BY$105</c:f>
              <c:numCache>
                <c:formatCode>0.00</c:formatCode>
                <c:ptCount val="101"/>
                <c:pt idx="0">
                  <c:v>2.5858275002370047E-4</c:v>
                </c:pt>
                <c:pt idx="1">
                  <c:v>80.573818361786678</c:v>
                </c:pt>
                <c:pt idx="2">
                  <c:v>83.140289521270816</c:v>
                </c:pt>
                <c:pt idx="3">
                  <c:v>84.008402463000536</c:v>
                </c:pt>
                <c:pt idx="4">
                  <c:v>84.426866885111863</c:v>
                </c:pt>
                <c:pt idx="5">
                  <c:v>84.659100973006133</c:v>
                </c:pt>
                <c:pt idx="6">
                  <c:v>84.79513598010908</c:v>
                </c:pt>
                <c:pt idx="7">
                  <c:v>84.874224713420432</c:v>
                </c:pt>
                <c:pt idx="8">
                  <c:v>84.916278495252016</c:v>
                </c:pt>
                <c:pt idx="9">
                  <c:v>84.932511798330395</c:v>
                </c:pt>
                <c:pt idx="10">
                  <c:v>84.929748356128272</c:v>
                </c:pt>
                <c:pt idx="11">
                  <c:v>84.912395984837602</c:v>
                </c:pt>
                <c:pt idx="12">
                  <c:v>84.634282491361731</c:v>
                </c:pt>
                <c:pt idx="13">
                  <c:v>84.125275158376326</c:v>
                </c:pt>
                <c:pt idx="14">
                  <c:v>84.420679641612566</c:v>
                </c:pt>
                <c:pt idx="15">
                  <c:v>84.679598328186458</c:v>
                </c:pt>
                <c:pt idx="16">
                  <c:v>84.90833406079328</c:v>
                </c:pt>
                <c:pt idx="17">
                  <c:v>85.111803586777341</c:v>
                </c:pt>
                <c:pt idx="18">
                  <c:v>85.293901138742143</c:v>
                </c:pt>
                <c:pt idx="19">
                  <c:v>85.457752797331239</c:v>
                </c:pt>
                <c:pt idx="20">
                  <c:v>85.605898198625084</c:v>
                </c:pt>
                <c:pt idx="21">
                  <c:v>85.740422769396574</c:v>
                </c:pt>
                <c:pt idx="22">
                  <c:v>85.863055569749235</c:v>
                </c:pt>
                <c:pt idx="23">
                  <c:v>85.975242777383954</c:v>
                </c:pt>
                <c:pt idx="24">
                  <c:v>86.078203628387698</c:v>
                </c:pt>
                <c:pt idx="25">
                  <c:v>86.172973529224365</c:v>
                </c:pt>
                <c:pt idx="26">
                  <c:v>86.260437656777327</c:v>
                </c:pt>
                <c:pt idx="27">
                  <c:v>86.341357415849885</c:v>
                </c:pt>
                <c:pt idx="28">
                  <c:v>86.416391470589744</c:v>
                </c:pt>
                <c:pt idx="29">
                  <c:v>86.486112609407414</c:v>
                </c:pt>
                <c:pt idx="30">
                  <c:v>86.551021378724712</c:v>
                </c:pt>
                <c:pt idx="31">
                  <c:v>86.611557187796592</c:v>
                </c:pt>
                <c:pt idx="32">
                  <c:v>86.668107417253182</c:v>
                </c:pt>
                <c:pt idx="33">
                  <c:v>86.983917219616032</c:v>
                </c:pt>
                <c:pt idx="34">
                  <c:v>87.348507210653779</c:v>
                </c:pt>
                <c:pt idx="35">
                  <c:v>87.69019810352367</c:v>
                </c:pt>
                <c:pt idx="36">
                  <c:v>87.291970576364676</c:v>
                </c:pt>
                <c:pt idx="37">
                  <c:v>87.396739347843877</c:v>
                </c:pt>
                <c:pt idx="38">
                  <c:v>87.493829111641105</c:v>
                </c:pt>
                <c:pt idx="39">
                  <c:v>87.583881759627729</c:v>
                </c:pt>
                <c:pt idx="40">
                  <c:v>87.667470810010656</c:v>
                </c:pt>
                <c:pt idx="41">
                  <c:v>87.745110162588205</c:v>
                </c:pt>
                <c:pt idx="42">
                  <c:v>87.817261556067564</c:v>
                </c:pt>
                <c:pt idx="43">
                  <c:v>87.884340944549834</c:v>
                </c:pt>
                <c:pt idx="44">
                  <c:v>87.94672397007183</c:v>
                </c:pt>
                <c:pt idx="45">
                  <c:v>88.004750676009863</c:v>
                </c:pt>
                <c:pt idx="46">
                  <c:v>88.058729580426146</c:v>
                </c:pt>
                <c:pt idx="47">
                  <c:v>88.108941207709719</c:v>
                </c:pt>
                <c:pt idx="48">
                  <c:v>88.155641160083348</c:v>
                </c:pt>
                <c:pt idx="49">
                  <c:v>88.199062796899369</c:v>
                </c:pt>
                <c:pt idx="50">
                  <c:v>88.239419578502606</c:v>
                </c:pt>
                <c:pt idx="51">
                  <c:v>88.276907122294944</c:v>
                </c:pt>
                <c:pt idx="52">
                  <c:v>88.311705011108629</c:v>
                </c:pt>
                <c:pt idx="53">
                  <c:v>88.343978387772154</c:v>
                </c:pt>
                <c:pt idx="54">
                  <c:v>88.373879364588518</c:v>
                </c:pt>
                <c:pt idx="55">
                  <c:v>88.401548272146456</c:v>
                </c:pt>
                <c:pt idx="56">
                  <c:v>88.42711476829264</c:v>
                </c:pt>
                <c:pt idx="57">
                  <c:v>88.450698825080437</c:v>
                </c:pt>
                <c:pt idx="58">
                  <c:v>88.472411608978732</c:v>
                </c:pt>
                <c:pt idx="59">
                  <c:v>88.492356267486045</c:v>
                </c:pt>
                <c:pt idx="60">
                  <c:v>88.510628633488253</c:v>
                </c:pt>
                <c:pt idx="61">
                  <c:v>88.5273178571626</c:v>
                </c:pt>
                <c:pt idx="62">
                  <c:v>88.542506973925555</c:v>
                </c:pt>
                <c:pt idx="63">
                  <c:v>88.556273415807425</c:v>
                </c:pt>
                <c:pt idx="64">
                  <c:v>88.568689472683417</c:v>
                </c:pt>
                <c:pt idx="65">
                  <c:v>88.579822708973268</c:v>
                </c:pt>
                <c:pt idx="66">
                  <c:v>88.589736340718588</c:v>
                </c:pt>
                <c:pt idx="67">
                  <c:v>88.598489577340885</c:v>
                </c:pt>
                <c:pt idx="68">
                  <c:v>88.606137931860076</c:v>
                </c:pt>
                <c:pt idx="69">
                  <c:v>88.612733502900142</c:v>
                </c:pt>
                <c:pt idx="70">
                  <c:v>88.618325231415369</c:v>
                </c:pt>
                <c:pt idx="71">
                  <c:v>88.622959134728376</c:v>
                </c:pt>
                <c:pt idx="72">
                  <c:v>88.626678520173925</c:v>
                </c:pt>
                <c:pt idx="73">
                  <c:v>88.629524180381708</c:v>
                </c:pt>
                <c:pt idx="74">
                  <c:v>88.631534572004682</c:v>
                </c:pt>
                <c:pt idx="75">
                  <c:v>88.632745979498935</c:v>
                </c:pt>
                <c:pt idx="76">
                  <c:v>88.633192665387583</c:v>
                </c:pt>
                <c:pt idx="77">
                  <c:v>88.632907008285827</c:v>
                </c:pt>
                <c:pt idx="78">
                  <c:v>88.631919629829554</c:v>
                </c:pt>
                <c:pt idx="79">
                  <c:v>88.630259511529758</c:v>
                </c:pt>
                <c:pt idx="80">
                  <c:v>88.627954102469431</c:v>
                </c:pt>
                <c:pt idx="81">
                  <c:v>88.625029418665562</c:v>
                </c:pt>
                <c:pt idx="82">
                  <c:v>88.621510134836271</c:v>
                </c:pt>
                <c:pt idx="83">
                  <c:v>88.617419669238799</c:v>
                </c:pt>
                <c:pt idx="84">
                  <c:v>88.612780262178717</c:v>
                </c:pt>
                <c:pt idx="85">
                  <c:v>88.60761304873202</c:v>
                </c:pt>
                <c:pt idx="86">
                  <c:v>88.601938126169941</c:v>
                </c:pt>
                <c:pt idx="87">
                  <c:v>88.595774616529368</c:v>
                </c:pt>
                <c:pt idx="88">
                  <c:v>88.589140724730058</c:v>
                </c:pt>
                <c:pt idx="89">
                  <c:v>88.582053792602892</c:v>
                </c:pt>
                <c:pt idx="90">
                  <c:v>88.574530349159488</c:v>
                </c:pt>
                <c:pt idx="91">
                  <c:v>88.566586157403577</c:v>
                </c:pt>
                <c:pt idx="92">
                  <c:v>88.558236257957518</c:v>
                </c:pt>
                <c:pt idx="93">
                  <c:v>88.549495009753201</c:v>
                </c:pt>
                <c:pt idx="94">
                  <c:v>88.540376128013946</c:v>
                </c:pt>
                <c:pt idx="95">
                  <c:v>88.530892719735377</c:v>
                </c:pt>
                <c:pt idx="96">
                  <c:v>88.521057316853955</c:v>
                </c:pt>
                <c:pt idx="97">
                  <c:v>88.510881907277195</c:v>
                </c:pt>
                <c:pt idx="98">
                  <c:v>88.488303507819296</c:v>
                </c:pt>
                <c:pt idx="99">
                  <c:v>88.457963164513529</c:v>
                </c:pt>
                <c:pt idx="100">
                  <c:v>88.427095434560485</c:v>
                </c:pt>
              </c:numCache>
            </c:numRef>
          </c:val>
          <c:smooth val="0"/>
        </c:ser>
        <c:dLbls>
          <c:showLegendKey val="0"/>
          <c:showVal val="0"/>
          <c:showCatName val="0"/>
          <c:showSerName val="0"/>
          <c:showPercent val="0"/>
          <c:showBubbleSize val="0"/>
        </c:dLbls>
        <c:marker val="1"/>
        <c:smooth val="0"/>
        <c:axId val="139814784"/>
        <c:axId val="139825152"/>
      </c:lineChart>
      <c:lineChart>
        <c:grouping val="standard"/>
        <c:varyColors val="0"/>
        <c:ser>
          <c:idx val="2"/>
          <c:order val="1"/>
          <c:tx>
            <c:strRef>
              <c:f>'Calculations - Single'!$BM$3</c:f>
              <c:strCache>
                <c:ptCount val="1"/>
                <c:pt idx="0">
                  <c:v>Flyback Diode Loss</c:v>
                </c:pt>
              </c:strCache>
            </c:strRef>
          </c:tx>
          <c:spPr>
            <a:ln w="38100">
              <a:solidFill>
                <a:srgbClr val="808000"/>
              </a:solidFill>
              <a:prstDash val="sysDash"/>
            </a:ln>
          </c:spPr>
          <c:marker>
            <c:symbol val="none"/>
          </c:marker>
          <c:cat>
            <c:numLit>
              <c:formatCode>General</c:formatCode>
              <c:ptCount val="201"/>
              <c:pt idx="0">
                <c:v>0</c:v>
              </c:pt>
              <c:pt idx="1">
                <c:v>2.5000000000000001E-2</c:v>
              </c:pt>
              <c:pt idx="2">
                <c:v>0.05</c:v>
              </c:pt>
              <c:pt idx="3">
                <c:v>7.4999999999999997E-2</c:v>
              </c:pt>
              <c:pt idx="4">
                <c:v>0.1</c:v>
              </c:pt>
              <c:pt idx="5">
                <c:v>0.125</c:v>
              </c:pt>
              <c:pt idx="6">
                <c:v>0.15</c:v>
              </c:pt>
              <c:pt idx="7">
                <c:v>0.17500000000000002</c:v>
              </c:pt>
              <c:pt idx="8">
                <c:v>0.2</c:v>
              </c:pt>
              <c:pt idx="9">
                <c:v>0.22499999999999998</c:v>
              </c:pt>
              <c:pt idx="10">
                <c:v>0.25</c:v>
              </c:pt>
              <c:pt idx="11">
                <c:v>0.27500000000000002</c:v>
              </c:pt>
              <c:pt idx="12">
                <c:v>0.3</c:v>
              </c:pt>
              <c:pt idx="13">
                <c:v>0.32500000000000001</c:v>
              </c:pt>
              <c:pt idx="14">
                <c:v>0.35000000000000003</c:v>
              </c:pt>
              <c:pt idx="15">
                <c:v>0.375</c:v>
              </c:pt>
              <c:pt idx="16">
                <c:v>0.4</c:v>
              </c:pt>
              <c:pt idx="17">
                <c:v>0.42500000000000004</c:v>
              </c:pt>
              <c:pt idx="18">
                <c:v>0.44999999999999996</c:v>
              </c:pt>
              <c:pt idx="19">
                <c:v>0.47499999999999998</c:v>
              </c:pt>
              <c:pt idx="20">
                <c:v>0.5</c:v>
              </c:pt>
              <c:pt idx="21">
                <c:v>0.52500000000000002</c:v>
              </c:pt>
              <c:pt idx="22">
                <c:v>0.55000000000000004</c:v>
              </c:pt>
              <c:pt idx="23">
                <c:v>0.57500000000000007</c:v>
              </c:pt>
              <c:pt idx="24">
                <c:v>0.6</c:v>
              </c:pt>
              <c:pt idx="25">
                <c:v>0.625</c:v>
              </c:pt>
              <c:pt idx="26">
                <c:v>0.65</c:v>
              </c:pt>
              <c:pt idx="27">
                <c:v>0.67500000000000004</c:v>
              </c:pt>
              <c:pt idx="28">
                <c:v>0.70000000000000007</c:v>
              </c:pt>
              <c:pt idx="29">
                <c:v>0.72499999999999998</c:v>
              </c:pt>
              <c:pt idx="30">
                <c:v>0.75</c:v>
              </c:pt>
              <c:pt idx="31">
                <c:v>0.77500000000000002</c:v>
              </c:pt>
              <c:pt idx="32">
                <c:v>0.8</c:v>
              </c:pt>
              <c:pt idx="33">
                <c:v>0.82500000000000007</c:v>
              </c:pt>
              <c:pt idx="34">
                <c:v>0.85000000000000009</c:v>
              </c:pt>
              <c:pt idx="35">
                <c:v>0.875</c:v>
              </c:pt>
              <c:pt idx="36">
                <c:v>0.89999999999999991</c:v>
              </c:pt>
              <c:pt idx="37">
                <c:v>0.92500000000000004</c:v>
              </c:pt>
              <c:pt idx="38">
                <c:v>0.95</c:v>
              </c:pt>
              <c:pt idx="39">
                <c:v>0.97500000000000009</c:v>
              </c:pt>
              <c:pt idx="40">
                <c:v>1</c:v>
              </c:pt>
              <c:pt idx="41">
                <c:v>1.0249999999999999</c:v>
              </c:pt>
              <c:pt idx="42">
                <c:v>1.05</c:v>
              </c:pt>
              <c:pt idx="43">
                <c:v>1.075</c:v>
              </c:pt>
              <c:pt idx="44">
                <c:v>1.1000000000000001</c:v>
              </c:pt>
              <c:pt idx="45">
                <c:v>1.125</c:v>
              </c:pt>
              <c:pt idx="46">
                <c:v>1.1500000000000001</c:v>
              </c:pt>
              <c:pt idx="47">
                <c:v>1.1749999999999998</c:v>
              </c:pt>
              <c:pt idx="48">
                <c:v>1.2</c:v>
              </c:pt>
              <c:pt idx="49">
                <c:v>1.2250000000000001</c:v>
              </c:pt>
              <c:pt idx="50">
                <c:v>1.25</c:v>
              </c:pt>
              <c:pt idx="51">
                <c:v>1.2749999999999999</c:v>
              </c:pt>
              <c:pt idx="52">
                <c:v>1.3</c:v>
              </c:pt>
              <c:pt idx="53">
                <c:v>1.3250000000000002</c:v>
              </c:pt>
              <c:pt idx="54">
                <c:v>1.35</c:v>
              </c:pt>
              <c:pt idx="55">
                <c:v>1.375</c:v>
              </c:pt>
              <c:pt idx="56">
                <c:v>1.4000000000000001</c:v>
              </c:pt>
              <c:pt idx="57">
                <c:v>1.4249999999999998</c:v>
              </c:pt>
              <c:pt idx="58">
                <c:v>1.45</c:v>
              </c:pt>
              <c:pt idx="59">
                <c:v>1.4749999999999999</c:v>
              </c:pt>
              <c:pt idx="60">
                <c:v>1.5</c:v>
              </c:pt>
              <c:pt idx="61">
                <c:v>1.5249999999999999</c:v>
              </c:pt>
              <c:pt idx="62">
                <c:v>1.55</c:v>
              </c:pt>
              <c:pt idx="63">
                <c:v>1.575</c:v>
              </c:pt>
              <c:pt idx="64">
                <c:v>1.6</c:v>
              </c:pt>
              <c:pt idx="65">
                <c:v>1.625</c:v>
              </c:pt>
              <c:pt idx="66">
                <c:v>1.6500000000000001</c:v>
              </c:pt>
              <c:pt idx="67">
                <c:v>1.675</c:v>
              </c:pt>
              <c:pt idx="68">
                <c:v>1.7000000000000002</c:v>
              </c:pt>
              <c:pt idx="69">
                <c:v>1.7249999999999999</c:v>
              </c:pt>
              <c:pt idx="70">
                <c:v>1.75</c:v>
              </c:pt>
              <c:pt idx="71">
                <c:v>1.7749999999999999</c:v>
              </c:pt>
              <c:pt idx="72">
                <c:v>1.7999999999999998</c:v>
              </c:pt>
              <c:pt idx="73">
                <c:v>1.825</c:v>
              </c:pt>
              <c:pt idx="74">
                <c:v>1.85</c:v>
              </c:pt>
              <c:pt idx="75">
                <c:v>1.875</c:v>
              </c:pt>
              <c:pt idx="76">
                <c:v>1.9</c:v>
              </c:pt>
              <c:pt idx="77">
                <c:v>1.925</c:v>
              </c:pt>
              <c:pt idx="78">
                <c:v>1.9500000000000002</c:v>
              </c:pt>
              <c:pt idx="79">
                <c:v>1.9750000000000001</c:v>
              </c:pt>
              <c:pt idx="80">
                <c:v>2</c:v>
              </c:pt>
              <c:pt idx="81">
                <c:v>2.0250000000000004</c:v>
              </c:pt>
              <c:pt idx="82">
                <c:v>2.0499999999999998</c:v>
              </c:pt>
              <c:pt idx="83">
                <c:v>2.0749999999999997</c:v>
              </c:pt>
              <c:pt idx="84">
                <c:v>2.1</c:v>
              </c:pt>
              <c:pt idx="85">
                <c:v>2.125</c:v>
              </c:pt>
              <c:pt idx="86">
                <c:v>2.15</c:v>
              </c:pt>
              <c:pt idx="87">
                <c:v>2.1749999999999998</c:v>
              </c:pt>
              <c:pt idx="88">
                <c:v>2.2000000000000002</c:v>
              </c:pt>
              <c:pt idx="89">
                <c:v>2.2250000000000001</c:v>
              </c:pt>
              <c:pt idx="90">
                <c:v>2.25</c:v>
              </c:pt>
              <c:pt idx="91">
                <c:v>2.2749999999999999</c:v>
              </c:pt>
              <c:pt idx="92">
                <c:v>2.3000000000000003</c:v>
              </c:pt>
              <c:pt idx="93">
                <c:v>2.3250000000000002</c:v>
              </c:pt>
              <c:pt idx="94">
                <c:v>2.3499999999999996</c:v>
              </c:pt>
              <c:pt idx="95">
                <c:v>2.375</c:v>
              </c:pt>
              <c:pt idx="96">
                <c:v>2.4</c:v>
              </c:pt>
              <c:pt idx="97">
                <c:v>2.4249999999999998</c:v>
              </c:pt>
              <c:pt idx="98">
                <c:v>2.4500000000000002</c:v>
              </c:pt>
              <c:pt idx="99">
                <c:v>2.4750000000000001</c:v>
              </c:pt>
              <c:pt idx="100">
                <c:v>2.5</c:v>
              </c:pt>
              <c:pt idx="101">
                <c:v>2.5249999999999999</c:v>
              </c:pt>
              <c:pt idx="102">
                <c:v>2.5499999999999998</c:v>
              </c:pt>
              <c:pt idx="103">
                <c:v>2.5750000000000002</c:v>
              </c:pt>
              <c:pt idx="104">
                <c:v>2.6</c:v>
              </c:pt>
              <c:pt idx="105">
                <c:v>2.625</c:v>
              </c:pt>
              <c:pt idx="106">
                <c:v>2.6500000000000004</c:v>
              </c:pt>
              <c:pt idx="107">
                <c:v>2.6750000000000003</c:v>
              </c:pt>
              <c:pt idx="108">
                <c:v>2.7</c:v>
              </c:pt>
              <c:pt idx="109">
                <c:v>2.7250000000000001</c:v>
              </c:pt>
              <c:pt idx="110">
                <c:v>2.75</c:v>
              </c:pt>
              <c:pt idx="111">
                <c:v>2.7750000000000004</c:v>
              </c:pt>
              <c:pt idx="112">
                <c:v>2.8000000000000003</c:v>
              </c:pt>
              <c:pt idx="113">
                <c:v>2.8249999999999997</c:v>
              </c:pt>
              <c:pt idx="114">
                <c:v>2.8499999999999996</c:v>
              </c:pt>
              <c:pt idx="115">
                <c:v>2.875</c:v>
              </c:pt>
              <c:pt idx="116">
                <c:v>2.9</c:v>
              </c:pt>
              <c:pt idx="117">
                <c:v>2.9249999999999998</c:v>
              </c:pt>
              <c:pt idx="118">
                <c:v>2.9499999999999997</c:v>
              </c:pt>
              <c:pt idx="119">
                <c:v>2.9749999999999996</c:v>
              </c:pt>
              <c:pt idx="120">
                <c:v>3</c:v>
              </c:pt>
              <c:pt idx="121">
                <c:v>3.0249999999999999</c:v>
              </c:pt>
              <c:pt idx="122">
                <c:v>3.05</c:v>
              </c:pt>
              <c:pt idx="123">
                <c:v>3.0750000000000002</c:v>
              </c:pt>
              <c:pt idx="124">
                <c:v>3.1</c:v>
              </c:pt>
              <c:pt idx="125">
                <c:v>3.125</c:v>
              </c:pt>
              <c:pt idx="126">
                <c:v>3.15</c:v>
              </c:pt>
              <c:pt idx="127">
                <c:v>3.1749999999999998</c:v>
              </c:pt>
              <c:pt idx="128">
                <c:v>3.2</c:v>
              </c:pt>
              <c:pt idx="129">
                <c:v>3.2250000000000001</c:v>
              </c:pt>
              <c:pt idx="130">
                <c:v>3.25</c:v>
              </c:pt>
              <c:pt idx="131">
                <c:v>3.2750000000000004</c:v>
              </c:pt>
              <c:pt idx="132">
                <c:v>3.3000000000000003</c:v>
              </c:pt>
              <c:pt idx="133">
                <c:v>3.3250000000000002</c:v>
              </c:pt>
              <c:pt idx="134">
                <c:v>3.35</c:v>
              </c:pt>
              <c:pt idx="135">
                <c:v>3.375</c:v>
              </c:pt>
              <c:pt idx="136">
                <c:v>3.4000000000000004</c:v>
              </c:pt>
              <c:pt idx="137">
                <c:v>3.4250000000000003</c:v>
              </c:pt>
              <c:pt idx="138">
                <c:v>3.4499999999999997</c:v>
              </c:pt>
              <c:pt idx="139">
                <c:v>3.4749999999999996</c:v>
              </c:pt>
              <c:pt idx="140">
                <c:v>3.5</c:v>
              </c:pt>
              <c:pt idx="141">
                <c:v>3.5249999999999999</c:v>
              </c:pt>
              <c:pt idx="142">
                <c:v>3.55</c:v>
              </c:pt>
              <c:pt idx="143">
                <c:v>3.5749999999999997</c:v>
              </c:pt>
              <c:pt idx="144">
                <c:v>3.5999999999999996</c:v>
              </c:pt>
              <c:pt idx="145">
                <c:v>3.625</c:v>
              </c:pt>
              <c:pt idx="146">
                <c:v>3.65</c:v>
              </c:pt>
              <c:pt idx="147">
                <c:v>3.6749999999999998</c:v>
              </c:pt>
              <c:pt idx="148">
                <c:v>3.7</c:v>
              </c:pt>
              <c:pt idx="149">
                <c:v>3.7250000000000001</c:v>
              </c:pt>
              <c:pt idx="150">
                <c:v>3.75</c:v>
              </c:pt>
              <c:pt idx="151">
                <c:v>3.7749999999999999</c:v>
              </c:pt>
              <c:pt idx="152">
                <c:v>3.8</c:v>
              </c:pt>
              <c:pt idx="153">
                <c:v>3.8250000000000002</c:v>
              </c:pt>
              <c:pt idx="154">
                <c:v>3.85</c:v>
              </c:pt>
              <c:pt idx="155">
                <c:v>3.875</c:v>
              </c:pt>
              <c:pt idx="156">
                <c:v>3.9000000000000004</c:v>
              </c:pt>
              <c:pt idx="157">
                <c:v>3.9250000000000003</c:v>
              </c:pt>
              <c:pt idx="158">
                <c:v>3.95</c:v>
              </c:pt>
              <c:pt idx="159">
                <c:v>3.9750000000000001</c:v>
              </c:pt>
              <c:pt idx="160">
                <c:v>4</c:v>
              </c:pt>
              <c:pt idx="161">
                <c:v>4.0250000000000004</c:v>
              </c:pt>
              <c:pt idx="162">
                <c:v>4.0500000000000007</c:v>
              </c:pt>
              <c:pt idx="163">
                <c:v>4.0749999999999993</c:v>
              </c:pt>
              <c:pt idx="164">
                <c:v>4.0999999999999996</c:v>
              </c:pt>
              <c:pt idx="165">
                <c:v>4.125</c:v>
              </c:pt>
              <c:pt idx="166">
                <c:v>4.1499999999999995</c:v>
              </c:pt>
              <c:pt idx="167">
                <c:v>4.1749999999999998</c:v>
              </c:pt>
              <c:pt idx="168">
                <c:v>4.2</c:v>
              </c:pt>
              <c:pt idx="169">
                <c:v>4.2249999999999996</c:v>
              </c:pt>
              <c:pt idx="170">
                <c:v>4.25</c:v>
              </c:pt>
              <c:pt idx="171">
                <c:v>4.2750000000000004</c:v>
              </c:pt>
              <c:pt idx="172">
                <c:v>4.3</c:v>
              </c:pt>
              <c:pt idx="173">
                <c:v>4.3250000000000002</c:v>
              </c:pt>
              <c:pt idx="174">
                <c:v>4.3499999999999996</c:v>
              </c:pt>
              <c:pt idx="175">
                <c:v>4.375</c:v>
              </c:pt>
              <c:pt idx="176">
                <c:v>4.4000000000000004</c:v>
              </c:pt>
              <c:pt idx="177">
                <c:v>4.4249999999999998</c:v>
              </c:pt>
              <c:pt idx="178">
                <c:v>4.45</c:v>
              </c:pt>
              <c:pt idx="179">
                <c:v>4.4749999999999996</c:v>
              </c:pt>
              <c:pt idx="180">
                <c:v>4.5</c:v>
              </c:pt>
              <c:pt idx="181">
                <c:v>4.5250000000000004</c:v>
              </c:pt>
              <c:pt idx="182">
                <c:v>4.55</c:v>
              </c:pt>
              <c:pt idx="183">
                <c:v>4.5750000000000002</c:v>
              </c:pt>
              <c:pt idx="184">
                <c:v>4.6000000000000005</c:v>
              </c:pt>
              <c:pt idx="185">
                <c:v>4.625</c:v>
              </c:pt>
              <c:pt idx="186">
                <c:v>4.6500000000000004</c:v>
              </c:pt>
              <c:pt idx="187">
                <c:v>4.6750000000000007</c:v>
              </c:pt>
              <c:pt idx="188">
                <c:v>4.6999999999999993</c:v>
              </c:pt>
              <c:pt idx="189">
                <c:v>4.7249999999999996</c:v>
              </c:pt>
              <c:pt idx="190">
                <c:v>4.75</c:v>
              </c:pt>
              <c:pt idx="191">
                <c:v>4.7749999999999995</c:v>
              </c:pt>
              <c:pt idx="192">
                <c:v>4.8</c:v>
              </c:pt>
              <c:pt idx="193">
                <c:v>4.8250000000000002</c:v>
              </c:pt>
              <c:pt idx="194">
                <c:v>4.8499999999999996</c:v>
              </c:pt>
              <c:pt idx="195">
                <c:v>4.875</c:v>
              </c:pt>
              <c:pt idx="196">
                <c:v>4.9000000000000004</c:v>
              </c:pt>
              <c:pt idx="197">
                <c:v>4.9249999999999998</c:v>
              </c:pt>
              <c:pt idx="198">
                <c:v>4.95</c:v>
              </c:pt>
              <c:pt idx="199">
                <c:v>4.9749999999999996</c:v>
              </c:pt>
              <c:pt idx="200">
                <c:v>5</c:v>
              </c:pt>
            </c:numLit>
          </c:cat>
          <c:val>
            <c:numRef>
              <c:f>'Calculations - Single'!$BP$5:$BP$105</c:f>
              <c:numCache>
                <c:formatCode>0.0</c:formatCode>
                <c:ptCount val="101"/>
                <c:pt idx="0">
                  <c:v>3.4999999999999998E-7</c:v>
                </c:pt>
                <c:pt idx="1">
                  <c:v>1.05</c:v>
                </c:pt>
                <c:pt idx="2">
                  <c:v>2.1</c:v>
                </c:pt>
                <c:pt idx="3">
                  <c:v>3.1499999999999995</c:v>
                </c:pt>
                <c:pt idx="4">
                  <c:v>4.2</c:v>
                </c:pt>
                <c:pt idx="5">
                  <c:v>5.2499999999999991</c:v>
                </c:pt>
                <c:pt idx="6">
                  <c:v>6.2999999999999989</c:v>
                </c:pt>
                <c:pt idx="7">
                  <c:v>7.35</c:v>
                </c:pt>
                <c:pt idx="8">
                  <c:v>8.4</c:v>
                </c:pt>
                <c:pt idx="9">
                  <c:v>9.4499999999999993</c:v>
                </c:pt>
                <c:pt idx="10">
                  <c:v>10.499999999999998</c:v>
                </c:pt>
                <c:pt idx="11">
                  <c:v>11.549999999999999</c:v>
                </c:pt>
                <c:pt idx="12">
                  <c:v>12.599999999999998</c:v>
                </c:pt>
                <c:pt idx="13">
                  <c:v>13.649999999999999</c:v>
                </c:pt>
                <c:pt idx="14">
                  <c:v>14.7</c:v>
                </c:pt>
                <c:pt idx="15">
                  <c:v>15.75</c:v>
                </c:pt>
                <c:pt idx="16">
                  <c:v>16.8</c:v>
                </c:pt>
                <c:pt idx="17">
                  <c:v>17.850000000000001</c:v>
                </c:pt>
                <c:pt idx="18">
                  <c:v>18.899999999999999</c:v>
                </c:pt>
                <c:pt idx="19">
                  <c:v>19.949999999999996</c:v>
                </c:pt>
                <c:pt idx="20">
                  <c:v>20.999999999999996</c:v>
                </c:pt>
                <c:pt idx="21">
                  <c:v>22.05</c:v>
                </c:pt>
                <c:pt idx="22">
                  <c:v>23.099999999999998</c:v>
                </c:pt>
                <c:pt idx="23">
                  <c:v>24.150000000000002</c:v>
                </c:pt>
                <c:pt idx="24">
                  <c:v>25.199999999999996</c:v>
                </c:pt>
                <c:pt idx="25">
                  <c:v>26.25</c:v>
                </c:pt>
                <c:pt idx="26">
                  <c:v>27.299999999999997</c:v>
                </c:pt>
                <c:pt idx="27">
                  <c:v>28.35</c:v>
                </c:pt>
                <c:pt idx="28">
                  <c:v>29.4</c:v>
                </c:pt>
                <c:pt idx="29">
                  <c:v>30.449999999999996</c:v>
                </c:pt>
                <c:pt idx="30">
                  <c:v>31.5</c:v>
                </c:pt>
                <c:pt idx="31">
                  <c:v>32.549999999999997</c:v>
                </c:pt>
                <c:pt idx="32">
                  <c:v>33.6</c:v>
                </c:pt>
                <c:pt idx="33">
                  <c:v>34.65</c:v>
                </c:pt>
                <c:pt idx="34">
                  <c:v>35.700000000000003</c:v>
                </c:pt>
                <c:pt idx="35">
                  <c:v>36.75</c:v>
                </c:pt>
                <c:pt idx="36">
                  <c:v>37.799999999999997</c:v>
                </c:pt>
                <c:pt idx="37">
                  <c:v>38.849999999999994</c:v>
                </c:pt>
                <c:pt idx="38">
                  <c:v>39.899999999999991</c:v>
                </c:pt>
                <c:pt idx="39">
                  <c:v>40.949999999999996</c:v>
                </c:pt>
                <c:pt idx="40">
                  <c:v>41.999999999999993</c:v>
                </c:pt>
                <c:pt idx="41">
                  <c:v>43.04999999999999</c:v>
                </c:pt>
                <c:pt idx="42">
                  <c:v>44.1</c:v>
                </c:pt>
                <c:pt idx="43">
                  <c:v>45.15</c:v>
                </c:pt>
                <c:pt idx="44">
                  <c:v>46.199999999999996</c:v>
                </c:pt>
                <c:pt idx="45">
                  <c:v>47.25</c:v>
                </c:pt>
                <c:pt idx="46">
                  <c:v>48.300000000000004</c:v>
                </c:pt>
                <c:pt idx="47">
                  <c:v>49.349999999999994</c:v>
                </c:pt>
                <c:pt idx="48">
                  <c:v>50.399999999999991</c:v>
                </c:pt>
                <c:pt idx="49">
                  <c:v>51.449999999999996</c:v>
                </c:pt>
                <c:pt idx="50">
                  <c:v>52.5</c:v>
                </c:pt>
                <c:pt idx="51">
                  <c:v>53.54999999999999</c:v>
                </c:pt>
                <c:pt idx="52">
                  <c:v>54.599999999999994</c:v>
                </c:pt>
                <c:pt idx="53">
                  <c:v>55.65</c:v>
                </c:pt>
                <c:pt idx="54">
                  <c:v>56.7</c:v>
                </c:pt>
                <c:pt idx="55">
                  <c:v>57.749999999999993</c:v>
                </c:pt>
                <c:pt idx="56">
                  <c:v>58.8</c:v>
                </c:pt>
                <c:pt idx="57">
                  <c:v>59.849999999999994</c:v>
                </c:pt>
                <c:pt idx="58">
                  <c:v>60.899999999999991</c:v>
                </c:pt>
                <c:pt idx="59">
                  <c:v>61.949999999999989</c:v>
                </c:pt>
                <c:pt idx="60">
                  <c:v>63</c:v>
                </c:pt>
                <c:pt idx="61">
                  <c:v>64.05</c:v>
                </c:pt>
                <c:pt idx="62">
                  <c:v>65.099999999999994</c:v>
                </c:pt>
                <c:pt idx="63">
                  <c:v>66.150000000000006</c:v>
                </c:pt>
                <c:pt idx="64">
                  <c:v>67.2</c:v>
                </c:pt>
                <c:pt idx="65">
                  <c:v>68.249999999999986</c:v>
                </c:pt>
                <c:pt idx="66">
                  <c:v>69.3</c:v>
                </c:pt>
                <c:pt idx="67">
                  <c:v>70.349999999999994</c:v>
                </c:pt>
                <c:pt idx="68">
                  <c:v>71.400000000000006</c:v>
                </c:pt>
                <c:pt idx="69">
                  <c:v>72.449999999999989</c:v>
                </c:pt>
                <c:pt idx="70">
                  <c:v>73.5</c:v>
                </c:pt>
                <c:pt idx="71">
                  <c:v>74.55</c:v>
                </c:pt>
                <c:pt idx="72">
                  <c:v>75.599999999999994</c:v>
                </c:pt>
                <c:pt idx="73">
                  <c:v>76.649999999999991</c:v>
                </c:pt>
                <c:pt idx="74">
                  <c:v>77.699999999999989</c:v>
                </c:pt>
                <c:pt idx="75">
                  <c:v>78.749999999999986</c:v>
                </c:pt>
                <c:pt idx="76">
                  <c:v>79.799999999999983</c:v>
                </c:pt>
                <c:pt idx="77">
                  <c:v>80.849999999999994</c:v>
                </c:pt>
                <c:pt idx="78">
                  <c:v>81.899999999999991</c:v>
                </c:pt>
                <c:pt idx="79">
                  <c:v>82.95</c:v>
                </c:pt>
                <c:pt idx="80">
                  <c:v>83.999999999999986</c:v>
                </c:pt>
                <c:pt idx="81">
                  <c:v>85.049999999999983</c:v>
                </c:pt>
                <c:pt idx="82">
                  <c:v>86.09999999999998</c:v>
                </c:pt>
                <c:pt idx="83">
                  <c:v>87.149999999999991</c:v>
                </c:pt>
                <c:pt idx="84">
                  <c:v>88.2</c:v>
                </c:pt>
                <c:pt idx="85">
                  <c:v>89.25</c:v>
                </c:pt>
                <c:pt idx="86">
                  <c:v>90.3</c:v>
                </c:pt>
                <c:pt idx="87">
                  <c:v>91.35</c:v>
                </c:pt>
                <c:pt idx="88">
                  <c:v>92.399999999999991</c:v>
                </c:pt>
                <c:pt idx="89">
                  <c:v>93.45</c:v>
                </c:pt>
                <c:pt idx="90">
                  <c:v>94.5</c:v>
                </c:pt>
                <c:pt idx="91">
                  <c:v>95.55</c:v>
                </c:pt>
                <c:pt idx="92">
                  <c:v>96.600000000000009</c:v>
                </c:pt>
                <c:pt idx="93">
                  <c:v>97.65</c:v>
                </c:pt>
                <c:pt idx="94">
                  <c:v>98.699999999999989</c:v>
                </c:pt>
                <c:pt idx="95">
                  <c:v>99.749999999999986</c:v>
                </c:pt>
                <c:pt idx="96">
                  <c:v>100.79999999999998</c:v>
                </c:pt>
                <c:pt idx="97">
                  <c:v>101.84999999999998</c:v>
                </c:pt>
                <c:pt idx="98">
                  <c:v>102.89999999999999</c:v>
                </c:pt>
                <c:pt idx="99">
                  <c:v>103.94999999999999</c:v>
                </c:pt>
                <c:pt idx="100">
                  <c:v>105</c:v>
                </c:pt>
              </c:numCache>
            </c:numRef>
          </c:val>
          <c:smooth val="0"/>
        </c:ser>
        <c:ser>
          <c:idx val="3"/>
          <c:order val="2"/>
          <c:tx>
            <c:strRef>
              <c:f>'Calculations - Single'!$BG$3</c:f>
              <c:strCache>
                <c:ptCount val="1"/>
                <c:pt idx="0">
                  <c:v>IC Loss</c:v>
                </c:pt>
              </c:strCache>
            </c:strRef>
          </c:tx>
          <c:spPr>
            <a:ln w="38100">
              <a:solidFill>
                <a:srgbClr val="800080"/>
              </a:solidFill>
              <a:prstDash val="dash"/>
            </a:ln>
          </c:spPr>
          <c:marker>
            <c:symbol val="none"/>
          </c:marker>
          <c:cat>
            <c:numLit>
              <c:formatCode>General</c:formatCode>
              <c:ptCount val="201"/>
              <c:pt idx="0">
                <c:v>0</c:v>
              </c:pt>
              <c:pt idx="1">
                <c:v>2.5000000000000001E-2</c:v>
              </c:pt>
              <c:pt idx="2">
                <c:v>0.05</c:v>
              </c:pt>
              <c:pt idx="3">
                <c:v>7.4999999999999997E-2</c:v>
              </c:pt>
              <c:pt idx="4">
                <c:v>0.1</c:v>
              </c:pt>
              <c:pt idx="5">
                <c:v>0.125</c:v>
              </c:pt>
              <c:pt idx="6">
                <c:v>0.15</c:v>
              </c:pt>
              <c:pt idx="7">
                <c:v>0.17500000000000002</c:v>
              </c:pt>
              <c:pt idx="8">
                <c:v>0.2</c:v>
              </c:pt>
              <c:pt idx="9">
                <c:v>0.22499999999999998</c:v>
              </c:pt>
              <c:pt idx="10">
                <c:v>0.25</c:v>
              </c:pt>
              <c:pt idx="11">
                <c:v>0.27500000000000002</c:v>
              </c:pt>
              <c:pt idx="12">
                <c:v>0.3</c:v>
              </c:pt>
              <c:pt idx="13">
                <c:v>0.32500000000000001</c:v>
              </c:pt>
              <c:pt idx="14">
                <c:v>0.35000000000000003</c:v>
              </c:pt>
              <c:pt idx="15">
                <c:v>0.375</c:v>
              </c:pt>
              <c:pt idx="16">
                <c:v>0.4</c:v>
              </c:pt>
              <c:pt idx="17">
                <c:v>0.42500000000000004</c:v>
              </c:pt>
              <c:pt idx="18">
                <c:v>0.44999999999999996</c:v>
              </c:pt>
              <c:pt idx="19">
                <c:v>0.47499999999999998</c:v>
              </c:pt>
              <c:pt idx="20">
                <c:v>0.5</c:v>
              </c:pt>
              <c:pt idx="21">
                <c:v>0.52500000000000002</c:v>
              </c:pt>
              <c:pt idx="22">
                <c:v>0.55000000000000004</c:v>
              </c:pt>
              <c:pt idx="23">
                <c:v>0.57500000000000007</c:v>
              </c:pt>
              <c:pt idx="24">
                <c:v>0.6</c:v>
              </c:pt>
              <c:pt idx="25">
                <c:v>0.625</c:v>
              </c:pt>
              <c:pt idx="26">
                <c:v>0.65</c:v>
              </c:pt>
              <c:pt idx="27">
                <c:v>0.67500000000000004</c:v>
              </c:pt>
              <c:pt idx="28">
                <c:v>0.70000000000000007</c:v>
              </c:pt>
              <c:pt idx="29">
                <c:v>0.72499999999999998</c:v>
              </c:pt>
              <c:pt idx="30">
                <c:v>0.75</c:v>
              </c:pt>
              <c:pt idx="31">
                <c:v>0.77500000000000002</c:v>
              </c:pt>
              <c:pt idx="32">
                <c:v>0.8</c:v>
              </c:pt>
              <c:pt idx="33">
                <c:v>0.82500000000000007</c:v>
              </c:pt>
              <c:pt idx="34">
                <c:v>0.85000000000000009</c:v>
              </c:pt>
              <c:pt idx="35">
                <c:v>0.875</c:v>
              </c:pt>
              <c:pt idx="36">
                <c:v>0.89999999999999991</c:v>
              </c:pt>
              <c:pt idx="37">
                <c:v>0.92500000000000004</c:v>
              </c:pt>
              <c:pt idx="38">
                <c:v>0.95</c:v>
              </c:pt>
              <c:pt idx="39">
                <c:v>0.97500000000000009</c:v>
              </c:pt>
              <c:pt idx="40">
                <c:v>1</c:v>
              </c:pt>
              <c:pt idx="41">
                <c:v>1.0249999999999999</c:v>
              </c:pt>
              <c:pt idx="42">
                <c:v>1.05</c:v>
              </c:pt>
              <c:pt idx="43">
                <c:v>1.075</c:v>
              </c:pt>
              <c:pt idx="44">
                <c:v>1.1000000000000001</c:v>
              </c:pt>
              <c:pt idx="45">
                <c:v>1.125</c:v>
              </c:pt>
              <c:pt idx="46">
                <c:v>1.1500000000000001</c:v>
              </c:pt>
              <c:pt idx="47">
                <c:v>1.1749999999999998</c:v>
              </c:pt>
              <c:pt idx="48">
                <c:v>1.2</c:v>
              </c:pt>
              <c:pt idx="49">
                <c:v>1.2250000000000001</c:v>
              </c:pt>
              <c:pt idx="50">
                <c:v>1.25</c:v>
              </c:pt>
              <c:pt idx="51">
                <c:v>1.2749999999999999</c:v>
              </c:pt>
              <c:pt idx="52">
                <c:v>1.3</c:v>
              </c:pt>
              <c:pt idx="53">
                <c:v>1.3250000000000002</c:v>
              </c:pt>
              <c:pt idx="54">
                <c:v>1.35</c:v>
              </c:pt>
              <c:pt idx="55">
                <c:v>1.375</c:v>
              </c:pt>
              <c:pt idx="56">
                <c:v>1.4000000000000001</c:v>
              </c:pt>
              <c:pt idx="57">
                <c:v>1.4249999999999998</c:v>
              </c:pt>
              <c:pt idx="58">
                <c:v>1.45</c:v>
              </c:pt>
              <c:pt idx="59">
                <c:v>1.4749999999999999</c:v>
              </c:pt>
              <c:pt idx="60">
                <c:v>1.5</c:v>
              </c:pt>
              <c:pt idx="61">
                <c:v>1.5249999999999999</c:v>
              </c:pt>
              <c:pt idx="62">
                <c:v>1.55</c:v>
              </c:pt>
              <c:pt idx="63">
                <c:v>1.575</c:v>
              </c:pt>
              <c:pt idx="64">
                <c:v>1.6</c:v>
              </c:pt>
              <c:pt idx="65">
                <c:v>1.625</c:v>
              </c:pt>
              <c:pt idx="66">
                <c:v>1.6500000000000001</c:v>
              </c:pt>
              <c:pt idx="67">
                <c:v>1.675</c:v>
              </c:pt>
              <c:pt idx="68">
                <c:v>1.7000000000000002</c:v>
              </c:pt>
              <c:pt idx="69">
                <c:v>1.7249999999999999</c:v>
              </c:pt>
              <c:pt idx="70">
                <c:v>1.75</c:v>
              </c:pt>
              <c:pt idx="71">
                <c:v>1.7749999999999999</c:v>
              </c:pt>
              <c:pt idx="72">
                <c:v>1.7999999999999998</c:v>
              </c:pt>
              <c:pt idx="73">
                <c:v>1.825</c:v>
              </c:pt>
              <c:pt idx="74">
                <c:v>1.85</c:v>
              </c:pt>
              <c:pt idx="75">
                <c:v>1.875</c:v>
              </c:pt>
              <c:pt idx="76">
                <c:v>1.9</c:v>
              </c:pt>
              <c:pt idx="77">
                <c:v>1.925</c:v>
              </c:pt>
              <c:pt idx="78">
                <c:v>1.9500000000000002</c:v>
              </c:pt>
              <c:pt idx="79">
                <c:v>1.9750000000000001</c:v>
              </c:pt>
              <c:pt idx="80">
                <c:v>2</c:v>
              </c:pt>
              <c:pt idx="81">
                <c:v>2.0250000000000004</c:v>
              </c:pt>
              <c:pt idx="82">
                <c:v>2.0499999999999998</c:v>
              </c:pt>
              <c:pt idx="83">
                <c:v>2.0749999999999997</c:v>
              </c:pt>
              <c:pt idx="84">
                <c:v>2.1</c:v>
              </c:pt>
              <c:pt idx="85">
                <c:v>2.125</c:v>
              </c:pt>
              <c:pt idx="86">
                <c:v>2.15</c:v>
              </c:pt>
              <c:pt idx="87">
                <c:v>2.1749999999999998</c:v>
              </c:pt>
              <c:pt idx="88">
                <c:v>2.2000000000000002</c:v>
              </c:pt>
              <c:pt idx="89">
                <c:v>2.2250000000000001</c:v>
              </c:pt>
              <c:pt idx="90">
                <c:v>2.25</c:v>
              </c:pt>
              <c:pt idx="91">
                <c:v>2.2749999999999999</c:v>
              </c:pt>
              <c:pt idx="92">
                <c:v>2.3000000000000003</c:v>
              </c:pt>
              <c:pt idx="93">
                <c:v>2.3250000000000002</c:v>
              </c:pt>
              <c:pt idx="94">
                <c:v>2.3499999999999996</c:v>
              </c:pt>
              <c:pt idx="95">
                <c:v>2.375</c:v>
              </c:pt>
              <c:pt idx="96">
                <c:v>2.4</c:v>
              </c:pt>
              <c:pt idx="97">
                <c:v>2.4249999999999998</c:v>
              </c:pt>
              <c:pt idx="98">
                <c:v>2.4500000000000002</c:v>
              </c:pt>
              <c:pt idx="99">
                <c:v>2.4750000000000001</c:v>
              </c:pt>
              <c:pt idx="100">
                <c:v>2.5</c:v>
              </c:pt>
              <c:pt idx="101">
                <c:v>2.5249999999999999</c:v>
              </c:pt>
              <c:pt idx="102">
                <c:v>2.5499999999999998</c:v>
              </c:pt>
              <c:pt idx="103">
                <c:v>2.5750000000000002</c:v>
              </c:pt>
              <c:pt idx="104">
                <c:v>2.6</c:v>
              </c:pt>
              <c:pt idx="105">
                <c:v>2.625</c:v>
              </c:pt>
              <c:pt idx="106">
                <c:v>2.6500000000000004</c:v>
              </c:pt>
              <c:pt idx="107">
                <c:v>2.6750000000000003</c:v>
              </c:pt>
              <c:pt idx="108">
                <c:v>2.7</c:v>
              </c:pt>
              <c:pt idx="109">
                <c:v>2.7250000000000001</c:v>
              </c:pt>
              <c:pt idx="110">
                <c:v>2.75</c:v>
              </c:pt>
              <c:pt idx="111">
                <c:v>2.7750000000000004</c:v>
              </c:pt>
              <c:pt idx="112">
                <c:v>2.8000000000000003</c:v>
              </c:pt>
              <c:pt idx="113">
                <c:v>2.8249999999999997</c:v>
              </c:pt>
              <c:pt idx="114">
                <c:v>2.8499999999999996</c:v>
              </c:pt>
              <c:pt idx="115">
                <c:v>2.875</c:v>
              </c:pt>
              <c:pt idx="116">
                <c:v>2.9</c:v>
              </c:pt>
              <c:pt idx="117">
                <c:v>2.9249999999999998</c:v>
              </c:pt>
              <c:pt idx="118">
                <c:v>2.9499999999999997</c:v>
              </c:pt>
              <c:pt idx="119">
                <c:v>2.9749999999999996</c:v>
              </c:pt>
              <c:pt idx="120">
                <c:v>3</c:v>
              </c:pt>
              <c:pt idx="121">
                <c:v>3.0249999999999999</c:v>
              </c:pt>
              <c:pt idx="122">
                <c:v>3.05</c:v>
              </c:pt>
              <c:pt idx="123">
                <c:v>3.0750000000000002</c:v>
              </c:pt>
              <c:pt idx="124">
                <c:v>3.1</c:v>
              </c:pt>
              <c:pt idx="125">
                <c:v>3.125</c:v>
              </c:pt>
              <c:pt idx="126">
                <c:v>3.15</c:v>
              </c:pt>
              <c:pt idx="127">
                <c:v>3.1749999999999998</c:v>
              </c:pt>
              <c:pt idx="128">
                <c:v>3.2</c:v>
              </c:pt>
              <c:pt idx="129">
                <c:v>3.2250000000000001</c:v>
              </c:pt>
              <c:pt idx="130">
                <c:v>3.25</c:v>
              </c:pt>
              <c:pt idx="131">
                <c:v>3.2750000000000004</c:v>
              </c:pt>
              <c:pt idx="132">
                <c:v>3.3000000000000003</c:v>
              </c:pt>
              <c:pt idx="133">
                <c:v>3.3250000000000002</c:v>
              </c:pt>
              <c:pt idx="134">
                <c:v>3.35</c:v>
              </c:pt>
              <c:pt idx="135">
                <c:v>3.375</c:v>
              </c:pt>
              <c:pt idx="136">
                <c:v>3.4000000000000004</c:v>
              </c:pt>
              <c:pt idx="137">
                <c:v>3.4250000000000003</c:v>
              </c:pt>
              <c:pt idx="138">
                <c:v>3.4499999999999997</c:v>
              </c:pt>
              <c:pt idx="139">
                <c:v>3.4749999999999996</c:v>
              </c:pt>
              <c:pt idx="140">
                <c:v>3.5</c:v>
              </c:pt>
              <c:pt idx="141">
                <c:v>3.5249999999999999</c:v>
              </c:pt>
              <c:pt idx="142">
                <c:v>3.55</c:v>
              </c:pt>
              <c:pt idx="143">
                <c:v>3.5749999999999997</c:v>
              </c:pt>
              <c:pt idx="144">
                <c:v>3.5999999999999996</c:v>
              </c:pt>
              <c:pt idx="145">
                <c:v>3.625</c:v>
              </c:pt>
              <c:pt idx="146">
                <c:v>3.65</c:v>
              </c:pt>
              <c:pt idx="147">
                <c:v>3.6749999999999998</c:v>
              </c:pt>
              <c:pt idx="148">
                <c:v>3.7</c:v>
              </c:pt>
              <c:pt idx="149">
                <c:v>3.7250000000000001</c:v>
              </c:pt>
              <c:pt idx="150">
                <c:v>3.75</c:v>
              </c:pt>
              <c:pt idx="151">
                <c:v>3.7749999999999999</c:v>
              </c:pt>
              <c:pt idx="152">
                <c:v>3.8</c:v>
              </c:pt>
              <c:pt idx="153">
                <c:v>3.8250000000000002</c:v>
              </c:pt>
              <c:pt idx="154">
                <c:v>3.85</c:v>
              </c:pt>
              <c:pt idx="155">
                <c:v>3.875</c:v>
              </c:pt>
              <c:pt idx="156">
                <c:v>3.9000000000000004</c:v>
              </c:pt>
              <c:pt idx="157">
                <c:v>3.9250000000000003</c:v>
              </c:pt>
              <c:pt idx="158">
                <c:v>3.95</c:v>
              </c:pt>
              <c:pt idx="159">
                <c:v>3.9750000000000001</c:v>
              </c:pt>
              <c:pt idx="160">
                <c:v>4</c:v>
              </c:pt>
              <c:pt idx="161">
                <c:v>4.0250000000000004</c:v>
              </c:pt>
              <c:pt idx="162">
                <c:v>4.0500000000000007</c:v>
              </c:pt>
              <c:pt idx="163">
                <c:v>4.0749999999999993</c:v>
              </c:pt>
              <c:pt idx="164">
                <c:v>4.0999999999999996</c:v>
              </c:pt>
              <c:pt idx="165">
                <c:v>4.125</c:v>
              </c:pt>
              <c:pt idx="166">
                <c:v>4.1499999999999995</c:v>
              </c:pt>
              <c:pt idx="167">
                <c:v>4.1749999999999998</c:v>
              </c:pt>
              <c:pt idx="168">
                <c:v>4.2</c:v>
              </c:pt>
              <c:pt idx="169">
                <c:v>4.2249999999999996</c:v>
              </c:pt>
              <c:pt idx="170">
                <c:v>4.25</c:v>
              </c:pt>
              <c:pt idx="171">
                <c:v>4.2750000000000004</c:v>
              </c:pt>
              <c:pt idx="172">
                <c:v>4.3</c:v>
              </c:pt>
              <c:pt idx="173">
                <c:v>4.3250000000000002</c:v>
              </c:pt>
              <c:pt idx="174">
                <c:v>4.3499999999999996</c:v>
              </c:pt>
              <c:pt idx="175">
                <c:v>4.375</c:v>
              </c:pt>
              <c:pt idx="176">
                <c:v>4.4000000000000004</c:v>
              </c:pt>
              <c:pt idx="177">
                <c:v>4.4249999999999998</c:v>
              </c:pt>
              <c:pt idx="178">
                <c:v>4.45</c:v>
              </c:pt>
              <c:pt idx="179">
                <c:v>4.4749999999999996</c:v>
              </c:pt>
              <c:pt idx="180">
                <c:v>4.5</c:v>
              </c:pt>
              <c:pt idx="181">
                <c:v>4.5250000000000004</c:v>
              </c:pt>
              <c:pt idx="182">
                <c:v>4.55</c:v>
              </c:pt>
              <c:pt idx="183">
                <c:v>4.5750000000000002</c:v>
              </c:pt>
              <c:pt idx="184">
                <c:v>4.6000000000000005</c:v>
              </c:pt>
              <c:pt idx="185">
                <c:v>4.625</c:v>
              </c:pt>
              <c:pt idx="186">
                <c:v>4.6500000000000004</c:v>
              </c:pt>
              <c:pt idx="187">
                <c:v>4.6750000000000007</c:v>
              </c:pt>
              <c:pt idx="188">
                <c:v>4.6999999999999993</c:v>
              </c:pt>
              <c:pt idx="189">
                <c:v>4.7249999999999996</c:v>
              </c:pt>
              <c:pt idx="190">
                <c:v>4.75</c:v>
              </c:pt>
              <c:pt idx="191">
                <c:v>4.7749999999999995</c:v>
              </c:pt>
              <c:pt idx="192">
                <c:v>4.8</c:v>
              </c:pt>
              <c:pt idx="193">
                <c:v>4.8250000000000002</c:v>
              </c:pt>
              <c:pt idx="194">
                <c:v>4.8499999999999996</c:v>
              </c:pt>
              <c:pt idx="195">
                <c:v>4.875</c:v>
              </c:pt>
              <c:pt idx="196">
                <c:v>4.9000000000000004</c:v>
              </c:pt>
              <c:pt idx="197">
                <c:v>4.9249999999999998</c:v>
              </c:pt>
              <c:pt idx="198">
                <c:v>4.95</c:v>
              </c:pt>
              <c:pt idx="199">
                <c:v>4.9749999999999996</c:v>
              </c:pt>
              <c:pt idx="200">
                <c:v>5</c:v>
              </c:pt>
            </c:numLit>
          </c:cat>
          <c:val>
            <c:numRef>
              <c:f>'Calculations - Single'!$BL$5:$BL$105</c:f>
              <c:numCache>
                <c:formatCode>0.0</c:formatCode>
                <c:ptCount val="101"/>
                <c:pt idx="0">
                  <c:v>4.9170695486111109</c:v>
                </c:pt>
                <c:pt idx="1">
                  <c:v>7.3887949969654185</c:v>
                </c:pt>
                <c:pt idx="2">
                  <c:v>11.297589993930837</c:v>
                </c:pt>
                <c:pt idx="3">
                  <c:v>15.206384990896252</c:v>
                </c:pt>
                <c:pt idx="4">
                  <c:v>19.115179987861673</c:v>
                </c:pt>
                <c:pt idx="5">
                  <c:v>23.023974984827088</c:v>
                </c:pt>
                <c:pt idx="6">
                  <c:v>26.932769981792504</c:v>
                </c:pt>
                <c:pt idx="7">
                  <c:v>30.841564978757926</c:v>
                </c:pt>
                <c:pt idx="8">
                  <c:v>34.750359975723342</c:v>
                </c:pt>
                <c:pt idx="9">
                  <c:v>38.659154972688761</c:v>
                </c:pt>
                <c:pt idx="10">
                  <c:v>42.567949969654173</c:v>
                </c:pt>
                <c:pt idx="11">
                  <c:v>46.476744966619599</c:v>
                </c:pt>
                <c:pt idx="12">
                  <c:v>51.017540797821624</c:v>
                </c:pt>
                <c:pt idx="13">
                  <c:v>56.051446669734538</c:v>
                </c:pt>
                <c:pt idx="14">
                  <c:v>57.621853755434799</c:v>
                </c:pt>
                <c:pt idx="15">
                  <c:v>59.170298955860183</c:v>
                </c:pt>
                <c:pt idx="16">
                  <c:v>60.700035748921316</c:v>
                </c:pt>
                <c:pt idx="17">
                  <c:v>62.213782531881606</c:v>
                </c:pt>
                <c:pt idx="18">
                  <c:v>63.713834355161495</c:v>
                </c:pt>
                <c:pt idx="19">
                  <c:v>65.202146635689971</c:v>
                </c:pt>
                <c:pt idx="20">
                  <c:v>66.680398950258606</c:v>
                </c:pt>
                <c:pt idx="21">
                  <c:v>68.150044385481564</c:v>
                </c:pt>
                <c:pt idx="22">
                  <c:v>69.612348230176053</c:v>
                </c:pt>
                <c:pt idx="23">
                  <c:v>71.068418679454794</c:v>
                </c:pt>
                <c:pt idx="24">
                  <c:v>72.519231466244463</c:v>
                </c:pt>
                <c:pt idx="25">
                  <c:v>73.965649817257784</c:v>
                </c:pt>
                <c:pt idx="26">
                  <c:v>75.408440767059304</c:v>
                </c:pt>
                <c:pt idx="27">
                  <c:v>76.848288605153172</c:v>
                </c:pt>
                <c:pt idx="28">
                  <c:v>78.28580604411097</c:v>
                </c:pt>
                <c:pt idx="29">
                  <c:v>79.721543559898649</c:v>
                </c:pt>
                <c:pt idx="30">
                  <c:v>81.155997254105657</c:v>
                </c:pt>
                <c:pt idx="31">
                  <c:v>82.589615511706612</c:v>
                </c:pt>
                <c:pt idx="32">
                  <c:v>84.02280467034285</c:v>
                </c:pt>
                <c:pt idx="33">
                  <c:v>83.502766881909977</c:v>
                </c:pt>
                <c:pt idx="34">
                  <c:v>82.507254499912179</c:v>
                </c:pt>
                <c:pt idx="35">
                  <c:v>81.569165012746268</c:v>
                </c:pt>
                <c:pt idx="36">
                  <c:v>85.279502900648296</c:v>
                </c:pt>
                <c:pt idx="37">
                  <c:v>85.86910787402546</c:v>
                </c:pt>
                <c:pt idx="38">
                  <c:v>86.51225762926596</c:v>
                </c:pt>
                <c:pt idx="39">
                  <c:v>87.207060580001524</c:v>
                </c:pt>
                <c:pt idx="40">
                  <c:v>87.951814298500892</c:v>
                </c:pt>
                <c:pt idx="41">
                  <c:v>88.744982447543023</c:v>
                </c:pt>
                <c:pt idx="42">
                  <c:v>89.585175007737561</c:v>
                </c:pt>
                <c:pt idx="43">
                  <c:v>90.471131263823423</c:v>
                </c:pt>
                <c:pt idx="44">
                  <c:v>91.401705111017804</c:v>
                </c:pt>
                <c:pt idx="45">
                  <c:v>92.375852320518661</c:v>
                </c:pt>
                <c:pt idx="46">
                  <c:v>93.392619466028336</c:v>
                </c:pt>
                <c:pt idx="47">
                  <c:v>94.451134263912934</c:v>
                </c:pt>
                <c:pt idx="48">
                  <c:v>95.550597120841388</c:v>
                </c:pt>
                <c:pt idx="49">
                  <c:v>96.690273716407546</c:v>
                </c:pt>
                <c:pt idx="50">
                  <c:v>97.869488475837727</c:v>
                </c:pt>
                <c:pt idx="51">
                  <c:v>99.087618810615112</c:v>
                </c:pt>
                <c:pt idx="52">
                  <c:v>100.34409002364715</c:v>
                </c:pt>
                <c:pt idx="53">
                  <c:v>101.63837079120685</c:v>
                </c:pt>
                <c:pt idx="54">
                  <c:v>102.96996914688025</c:v>
                </c:pt>
                <c:pt idx="55">
                  <c:v>104.33842890362905</c:v>
                </c:pt>
                <c:pt idx="56">
                  <c:v>105.74332645920329</c:v>
                </c:pt>
                <c:pt idx="57">
                  <c:v>107.18426793782676</c:v>
                </c:pt>
                <c:pt idx="58">
                  <c:v>108.66088662756982</c:v>
                </c:pt>
                <c:pt idx="59">
                  <c:v>110.17284067832874</c:v>
                </c:pt>
                <c:pt idx="60">
                  <c:v>111.71981103000643</c:v>
                </c:pt>
                <c:pt idx="61">
                  <c:v>113.30149954447967</c:v>
                </c:pt>
                <c:pt idx="62">
                  <c:v>114.91762731834264</c:v>
                </c:pt>
                <c:pt idx="63">
                  <c:v>116.56793315634232</c:v>
                </c:pt>
                <c:pt idx="64">
                  <c:v>118.25217218792916</c:v>
                </c:pt>
                <c:pt idx="65">
                  <c:v>119.97011461151034</c:v>
                </c:pt>
                <c:pt idx="66">
                  <c:v>121.7215445528623</c:v>
                </c:pt>
                <c:pt idx="67">
                  <c:v>123.50625902577494</c:v>
                </c:pt>
                <c:pt idx="68">
                  <c:v>125.32406698440332</c:v>
                </c:pt>
                <c:pt idx="69">
                  <c:v>127.17478845802415</c:v>
                </c:pt>
                <c:pt idx="70">
                  <c:v>129.05825375995522</c:v>
                </c:pt>
                <c:pt idx="71">
                  <c:v>130.97430276332759</c:v>
                </c:pt>
                <c:pt idx="72">
                  <c:v>132.92278423720936</c:v>
                </c:pt>
                <c:pt idx="73">
                  <c:v>134.90355523729519</c:v>
                </c:pt>
                <c:pt idx="74">
                  <c:v>136.91648054599875</c:v>
                </c:pt>
                <c:pt idx="75">
                  <c:v>138.96143215733849</c:v>
                </c:pt>
                <c:pt idx="76">
                  <c:v>141.03828880248969</c:v>
                </c:pt>
                <c:pt idx="77">
                  <c:v>143.14693551230675</c:v>
                </c:pt>
                <c:pt idx="78">
                  <c:v>145.28726321349799</c:v>
                </c:pt>
                <c:pt idx="79">
                  <c:v>147.45916835546976</c:v>
                </c:pt>
                <c:pt idx="80">
                  <c:v>149.66255256515814</c:v>
                </c:pt>
                <c:pt idx="81">
                  <c:v>151.8973223274283</c:v>
                </c:pt>
                <c:pt idx="82">
                  <c:v>154.16338868885947</c:v>
                </c:pt>
                <c:pt idx="83">
                  <c:v>156.46066698294257</c:v>
                </c:pt>
                <c:pt idx="84">
                  <c:v>158.789076574907</c:v>
                </c:pt>
                <c:pt idx="85">
                  <c:v>161.1485406245597</c:v>
                </c:pt>
                <c:pt idx="86">
                  <c:v>163.5389858656701</c:v>
                </c:pt>
                <c:pt idx="87">
                  <c:v>165.96034240056969</c:v>
                </c:pt>
                <c:pt idx="88">
                  <c:v>168.41254350875727</c:v>
                </c:pt>
                <c:pt idx="89">
                  <c:v>170.89552546840517</c:v>
                </c:pt>
                <c:pt idx="90">
                  <c:v>173.40922738976764</c:v>
                </c:pt>
                <c:pt idx="91">
                  <c:v>175.95359105957047</c:v>
                </c:pt>
                <c:pt idx="92">
                  <c:v>178.52856079555207</c:v>
                </c:pt>
                <c:pt idx="93">
                  <c:v>181.13408331038673</c:v>
                </c:pt>
                <c:pt idx="94">
                  <c:v>183.77010758429404</c:v>
                </c:pt>
                <c:pt idx="95">
                  <c:v>186.4365847456954</c:v>
                </c:pt>
                <c:pt idx="96">
                  <c:v>189.13346795932782</c:v>
                </c:pt>
                <c:pt idx="97">
                  <c:v>191.86071232127907</c:v>
                </c:pt>
                <c:pt idx="98">
                  <c:v>191.96743369579639</c:v>
                </c:pt>
                <c:pt idx="99">
                  <c:v>190.48283724383123</c:v>
                </c:pt>
                <c:pt idx="100">
                  <c:v>188.99985339621762</c:v>
                </c:pt>
              </c:numCache>
            </c:numRef>
          </c:val>
          <c:smooth val="0"/>
        </c:ser>
        <c:ser>
          <c:idx val="1"/>
          <c:order val="3"/>
          <c:tx>
            <c:strRef>
              <c:f>'Calculations - Single'!$BQ$3</c:f>
              <c:strCache>
                <c:ptCount val="1"/>
                <c:pt idx="0">
                  <c:v>Transformer Loss</c:v>
                </c:pt>
              </c:strCache>
            </c:strRef>
          </c:tx>
          <c:spPr>
            <a:ln w="38100">
              <a:solidFill>
                <a:srgbClr val="002060"/>
              </a:solidFill>
              <a:prstDash val="sysDot"/>
            </a:ln>
          </c:spPr>
          <c:marker>
            <c:symbol val="none"/>
          </c:marker>
          <c:cat>
            <c:numLit>
              <c:formatCode>General</c:formatCode>
              <c:ptCount val="201"/>
              <c:pt idx="0">
                <c:v>0</c:v>
              </c:pt>
              <c:pt idx="1">
                <c:v>2.5000000000000001E-2</c:v>
              </c:pt>
              <c:pt idx="2">
                <c:v>0.05</c:v>
              </c:pt>
              <c:pt idx="3">
                <c:v>7.4999999999999997E-2</c:v>
              </c:pt>
              <c:pt idx="4">
                <c:v>0.1</c:v>
              </c:pt>
              <c:pt idx="5">
                <c:v>0.125</c:v>
              </c:pt>
              <c:pt idx="6">
                <c:v>0.15</c:v>
              </c:pt>
              <c:pt idx="7">
                <c:v>0.17500000000000002</c:v>
              </c:pt>
              <c:pt idx="8">
                <c:v>0.2</c:v>
              </c:pt>
              <c:pt idx="9">
                <c:v>0.22499999999999998</c:v>
              </c:pt>
              <c:pt idx="10">
                <c:v>0.25</c:v>
              </c:pt>
              <c:pt idx="11">
                <c:v>0.27500000000000002</c:v>
              </c:pt>
              <c:pt idx="12">
                <c:v>0.3</c:v>
              </c:pt>
              <c:pt idx="13">
                <c:v>0.32500000000000001</c:v>
              </c:pt>
              <c:pt idx="14">
                <c:v>0.35000000000000003</c:v>
              </c:pt>
              <c:pt idx="15">
                <c:v>0.375</c:v>
              </c:pt>
              <c:pt idx="16">
                <c:v>0.4</c:v>
              </c:pt>
              <c:pt idx="17">
                <c:v>0.42500000000000004</c:v>
              </c:pt>
              <c:pt idx="18">
                <c:v>0.44999999999999996</c:v>
              </c:pt>
              <c:pt idx="19">
                <c:v>0.47499999999999998</c:v>
              </c:pt>
              <c:pt idx="20">
                <c:v>0.5</c:v>
              </c:pt>
              <c:pt idx="21">
                <c:v>0.52500000000000002</c:v>
              </c:pt>
              <c:pt idx="22">
                <c:v>0.55000000000000004</c:v>
              </c:pt>
              <c:pt idx="23">
                <c:v>0.57500000000000007</c:v>
              </c:pt>
              <c:pt idx="24">
                <c:v>0.6</c:v>
              </c:pt>
              <c:pt idx="25">
                <c:v>0.625</c:v>
              </c:pt>
              <c:pt idx="26">
                <c:v>0.65</c:v>
              </c:pt>
              <c:pt idx="27">
                <c:v>0.67500000000000004</c:v>
              </c:pt>
              <c:pt idx="28">
                <c:v>0.70000000000000007</c:v>
              </c:pt>
              <c:pt idx="29">
                <c:v>0.72499999999999998</c:v>
              </c:pt>
              <c:pt idx="30">
                <c:v>0.75</c:v>
              </c:pt>
              <c:pt idx="31">
                <c:v>0.77500000000000002</c:v>
              </c:pt>
              <c:pt idx="32">
                <c:v>0.8</c:v>
              </c:pt>
              <c:pt idx="33">
                <c:v>0.82500000000000007</c:v>
              </c:pt>
              <c:pt idx="34">
                <c:v>0.85000000000000009</c:v>
              </c:pt>
              <c:pt idx="35">
                <c:v>0.875</c:v>
              </c:pt>
              <c:pt idx="36">
                <c:v>0.89999999999999991</c:v>
              </c:pt>
              <c:pt idx="37">
                <c:v>0.92500000000000004</c:v>
              </c:pt>
              <c:pt idx="38">
                <c:v>0.95</c:v>
              </c:pt>
              <c:pt idx="39">
                <c:v>0.97500000000000009</c:v>
              </c:pt>
              <c:pt idx="40">
                <c:v>1</c:v>
              </c:pt>
              <c:pt idx="41">
                <c:v>1.0249999999999999</c:v>
              </c:pt>
              <c:pt idx="42">
                <c:v>1.05</c:v>
              </c:pt>
              <c:pt idx="43">
                <c:v>1.075</c:v>
              </c:pt>
              <c:pt idx="44">
                <c:v>1.1000000000000001</c:v>
              </c:pt>
              <c:pt idx="45">
                <c:v>1.125</c:v>
              </c:pt>
              <c:pt idx="46">
                <c:v>1.1500000000000001</c:v>
              </c:pt>
              <c:pt idx="47">
                <c:v>1.1749999999999998</c:v>
              </c:pt>
              <c:pt idx="48">
                <c:v>1.2</c:v>
              </c:pt>
              <c:pt idx="49">
                <c:v>1.2250000000000001</c:v>
              </c:pt>
              <c:pt idx="50">
                <c:v>1.25</c:v>
              </c:pt>
              <c:pt idx="51">
                <c:v>1.2749999999999999</c:v>
              </c:pt>
              <c:pt idx="52">
                <c:v>1.3</c:v>
              </c:pt>
              <c:pt idx="53">
                <c:v>1.3250000000000002</c:v>
              </c:pt>
              <c:pt idx="54">
                <c:v>1.35</c:v>
              </c:pt>
              <c:pt idx="55">
                <c:v>1.375</c:v>
              </c:pt>
              <c:pt idx="56">
                <c:v>1.4000000000000001</c:v>
              </c:pt>
              <c:pt idx="57">
                <c:v>1.4249999999999998</c:v>
              </c:pt>
              <c:pt idx="58">
                <c:v>1.45</c:v>
              </c:pt>
              <c:pt idx="59">
                <c:v>1.4749999999999999</c:v>
              </c:pt>
              <c:pt idx="60">
                <c:v>1.5</c:v>
              </c:pt>
              <c:pt idx="61">
                <c:v>1.5249999999999999</c:v>
              </c:pt>
              <c:pt idx="62">
                <c:v>1.55</c:v>
              </c:pt>
              <c:pt idx="63">
                <c:v>1.575</c:v>
              </c:pt>
              <c:pt idx="64">
                <c:v>1.6</c:v>
              </c:pt>
              <c:pt idx="65">
                <c:v>1.625</c:v>
              </c:pt>
              <c:pt idx="66">
                <c:v>1.6500000000000001</c:v>
              </c:pt>
              <c:pt idx="67">
                <c:v>1.675</c:v>
              </c:pt>
              <c:pt idx="68">
                <c:v>1.7000000000000002</c:v>
              </c:pt>
              <c:pt idx="69">
                <c:v>1.7249999999999999</c:v>
              </c:pt>
              <c:pt idx="70">
                <c:v>1.75</c:v>
              </c:pt>
              <c:pt idx="71">
                <c:v>1.7749999999999999</c:v>
              </c:pt>
              <c:pt idx="72">
                <c:v>1.7999999999999998</c:v>
              </c:pt>
              <c:pt idx="73">
                <c:v>1.825</c:v>
              </c:pt>
              <c:pt idx="74">
                <c:v>1.85</c:v>
              </c:pt>
              <c:pt idx="75">
                <c:v>1.875</c:v>
              </c:pt>
              <c:pt idx="76">
                <c:v>1.9</c:v>
              </c:pt>
              <c:pt idx="77">
                <c:v>1.925</c:v>
              </c:pt>
              <c:pt idx="78">
                <c:v>1.9500000000000002</c:v>
              </c:pt>
              <c:pt idx="79">
                <c:v>1.9750000000000001</c:v>
              </c:pt>
              <c:pt idx="80">
                <c:v>2</c:v>
              </c:pt>
              <c:pt idx="81">
                <c:v>2.0250000000000004</c:v>
              </c:pt>
              <c:pt idx="82">
                <c:v>2.0499999999999998</c:v>
              </c:pt>
              <c:pt idx="83">
                <c:v>2.0749999999999997</c:v>
              </c:pt>
              <c:pt idx="84">
                <c:v>2.1</c:v>
              </c:pt>
              <c:pt idx="85">
                <c:v>2.125</c:v>
              </c:pt>
              <c:pt idx="86">
                <c:v>2.15</c:v>
              </c:pt>
              <c:pt idx="87">
                <c:v>2.1749999999999998</c:v>
              </c:pt>
              <c:pt idx="88">
                <c:v>2.2000000000000002</c:v>
              </c:pt>
              <c:pt idx="89">
                <c:v>2.2250000000000001</c:v>
              </c:pt>
              <c:pt idx="90">
                <c:v>2.25</c:v>
              </c:pt>
              <c:pt idx="91">
                <c:v>2.2749999999999999</c:v>
              </c:pt>
              <c:pt idx="92">
                <c:v>2.3000000000000003</c:v>
              </c:pt>
              <c:pt idx="93">
                <c:v>2.3250000000000002</c:v>
              </c:pt>
              <c:pt idx="94">
                <c:v>2.3499999999999996</c:v>
              </c:pt>
              <c:pt idx="95">
                <c:v>2.375</c:v>
              </c:pt>
              <c:pt idx="96">
                <c:v>2.4</c:v>
              </c:pt>
              <c:pt idx="97">
                <c:v>2.4249999999999998</c:v>
              </c:pt>
              <c:pt idx="98">
                <c:v>2.4500000000000002</c:v>
              </c:pt>
              <c:pt idx="99">
                <c:v>2.4750000000000001</c:v>
              </c:pt>
              <c:pt idx="100">
                <c:v>2.5</c:v>
              </c:pt>
              <c:pt idx="101">
                <c:v>2.5249999999999999</c:v>
              </c:pt>
              <c:pt idx="102">
                <c:v>2.5499999999999998</c:v>
              </c:pt>
              <c:pt idx="103">
                <c:v>2.5750000000000002</c:v>
              </c:pt>
              <c:pt idx="104">
                <c:v>2.6</c:v>
              </c:pt>
              <c:pt idx="105">
                <c:v>2.625</c:v>
              </c:pt>
              <c:pt idx="106">
                <c:v>2.6500000000000004</c:v>
              </c:pt>
              <c:pt idx="107">
                <c:v>2.6750000000000003</c:v>
              </c:pt>
              <c:pt idx="108">
                <c:v>2.7</c:v>
              </c:pt>
              <c:pt idx="109">
                <c:v>2.7250000000000001</c:v>
              </c:pt>
              <c:pt idx="110">
                <c:v>2.75</c:v>
              </c:pt>
              <c:pt idx="111">
                <c:v>2.7750000000000004</c:v>
              </c:pt>
              <c:pt idx="112">
                <c:v>2.8000000000000003</c:v>
              </c:pt>
              <c:pt idx="113">
                <c:v>2.8249999999999997</c:v>
              </c:pt>
              <c:pt idx="114">
                <c:v>2.8499999999999996</c:v>
              </c:pt>
              <c:pt idx="115">
                <c:v>2.875</c:v>
              </c:pt>
              <c:pt idx="116">
                <c:v>2.9</c:v>
              </c:pt>
              <c:pt idx="117">
                <c:v>2.9249999999999998</c:v>
              </c:pt>
              <c:pt idx="118">
                <c:v>2.9499999999999997</c:v>
              </c:pt>
              <c:pt idx="119">
                <c:v>2.9749999999999996</c:v>
              </c:pt>
              <c:pt idx="120">
                <c:v>3</c:v>
              </c:pt>
              <c:pt idx="121">
                <c:v>3.0249999999999999</c:v>
              </c:pt>
              <c:pt idx="122">
                <c:v>3.05</c:v>
              </c:pt>
              <c:pt idx="123">
                <c:v>3.0750000000000002</c:v>
              </c:pt>
              <c:pt idx="124">
                <c:v>3.1</c:v>
              </c:pt>
              <c:pt idx="125">
                <c:v>3.125</c:v>
              </c:pt>
              <c:pt idx="126">
                <c:v>3.15</c:v>
              </c:pt>
              <c:pt idx="127">
                <c:v>3.1749999999999998</c:v>
              </c:pt>
              <c:pt idx="128">
                <c:v>3.2</c:v>
              </c:pt>
              <c:pt idx="129">
                <c:v>3.2250000000000001</c:v>
              </c:pt>
              <c:pt idx="130">
                <c:v>3.25</c:v>
              </c:pt>
              <c:pt idx="131">
                <c:v>3.2750000000000004</c:v>
              </c:pt>
              <c:pt idx="132">
                <c:v>3.3000000000000003</c:v>
              </c:pt>
              <c:pt idx="133">
                <c:v>3.3250000000000002</c:v>
              </c:pt>
              <c:pt idx="134">
                <c:v>3.35</c:v>
              </c:pt>
              <c:pt idx="135">
                <c:v>3.375</c:v>
              </c:pt>
              <c:pt idx="136">
                <c:v>3.4000000000000004</c:v>
              </c:pt>
              <c:pt idx="137">
                <c:v>3.4250000000000003</c:v>
              </c:pt>
              <c:pt idx="138">
                <c:v>3.4499999999999997</c:v>
              </c:pt>
              <c:pt idx="139">
                <c:v>3.4749999999999996</c:v>
              </c:pt>
              <c:pt idx="140">
                <c:v>3.5</c:v>
              </c:pt>
              <c:pt idx="141">
                <c:v>3.5249999999999999</c:v>
              </c:pt>
              <c:pt idx="142">
                <c:v>3.55</c:v>
              </c:pt>
              <c:pt idx="143">
                <c:v>3.5749999999999997</c:v>
              </c:pt>
              <c:pt idx="144">
                <c:v>3.5999999999999996</c:v>
              </c:pt>
              <c:pt idx="145">
                <c:v>3.625</c:v>
              </c:pt>
              <c:pt idx="146">
                <c:v>3.65</c:v>
              </c:pt>
              <c:pt idx="147">
                <c:v>3.6749999999999998</c:v>
              </c:pt>
              <c:pt idx="148">
                <c:v>3.7</c:v>
              </c:pt>
              <c:pt idx="149">
                <c:v>3.7250000000000001</c:v>
              </c:pt>
              <c:pt idx="150">
                <c:v>3.75</c:v>
              </c:pt>
              <c:pt idx="151">
                <c:v>3.7749999999999999</c:v>
              </c:pt>
              <c:pt idx="152">
                <c:v>3.8</c:v>
              </c:pt>
              <c:pt idx="153">
                <c:v>3.8250000000000002</c:v>
              </c:pt>
              <c:pt idx="154">
                <c:v>3.85</c:v>
              </c:pt>
              <c:pt idx="155">
                <c:v>3.875</c:v>
              </c:pt>
              <c:pt idx="156">
                <c:v>3.9000000000000004</c:v>
              </c:pt>
              <c:pt idx="157">
                <c:v>3.9250000000000003</c:v>
              </c:pt>
              <c:pt idx="158">
                <c:v>3.95</c:v>
              </c:pt>
              <c:pt idx="159">
                <c:v>3.9750000000000001</c:v>
              </c:pt>
              <c:pt idx="160">
                <c:v>4</c:v>
              </c:pt>
              <c:pt idx="161">
                <c:v>4.0250000000000004</c:v>
              </c:pt>
              <c:pt idx="162">
                <c:v>4.0500000000000007</c:v>
              </c:pt>
              <c:pt idx="163">
                <c:v>4.0749999999999993</c:v>
              </c:pt>
              <c:pt idx="164">
                <c:v>4.0999999999999996</c:v>
              </c:pt>
              <c:pt idx="165">
                <c:v>4.125</c:v>
              </c:pt>
              <c:pt idx="166">
                <c:v>4.1499999999999995</c:v>
              </c:pt>
              <c:pt idx="167">
                <c:v>4.1749999999999998</c:v>
              </c:pt>
              <c:pt idx="168">
                <c:v>4.2</c:v>
              </c:pt>
              <c:pt idx="169">
                <c:v>4.2249999999999996</c:v>
              </c:pt>
              <c:pt idx="170">
                <c:v>4.25</c:v>
              </c:pt>
              <c:pt idx="171">
                <c:v>4.2750000000000004</c:v>
              </c:pt>
              <c:pt idx="172">
                <c:v>4.3</c:v>
              </c:pt>
              <c:pt idx="173">
                <c:v>4.3250000000000002</c:v>
              </c:pt>
              <c:pt idx="174">
                <c:v>4.3499999999999996</c:v>
              </c:pt>
              <c:pt idx="175">
                <c:v>4.375</c:v>
              </c:pt>
              <c:pt idx="176">
                <c:v>4.4000000000000004</c:v>
              </c:pt>
              <c:pt idx="177">
                <c:v>4.4249999999999998</c:v>
              </c:pt>
              <c:pt idx="178">
                <c:v>4.45</c:v>
              </c:pt>
              <c:pt idx="179">
                <c:v>4.4749999999999996</c:v>
              </c:pt>
              <c:pt idx="180">
                <c:v>4.5</c:v>
              </c:pt>
              <c:pt idx="181">
                <c:v>4.5250000000000004</c:v>
              </c:pt>
              <c:pt idx="182">
                <c:v>4.55</c:v>
              </c:pt>
              <c:pt idx="183">
                <c:v>4.5750000000000002</c:v>
              </c:pt>
              <c:pt idx="184">
                <c:v>4.6000000000000005</c:v>
              </c:pt>
              <c:pt idx="185">
                <c:v>4.625</c:v>
              </c:pt>
              <c:pt idx="186">
                <c:v>4.6500000000000004</c:v>
              </c:pt>
              <c:pt idx="187">
                <c:v>4.6750000000000007</c:v>
              </c:pt>
              <c:pt idx="188">
                <c:v>4.6999999999999993</c:v>
              </c:pt>
              <c:pt idx="189">
                <c:v>4.7249999999999996</c:v>
              </c:pt>
              <c:pt idx="190">
                <c:v>4.75</c:v>
              </c:pt>
              <c:pt idx="191">
                <c:v>4.7749999999999995</c:v>
              </c:pt>
              <c:pt idx="192">
                <c:v>4.8</c:v>
              </c:pt>
              <c:pt idx="193">
                <c:v>4.8250000000000002</c:v>
              </c:pt>
              <c:pt idx="194">
                <c:v>4.8499999999999996</c:v>
              </c:pt>
              <c:pt idx="195">
                <c:v>4.875</c:v>
              </c:pt>
              <c:pt idx="196">
                <c:v>4.9000000000000004</c:v>
              </c:pt>
              <c:pt idx="197">
                <c:v>4.9249999999999998</c:v>
              </c:pt>
              <c:pt idx="198">
                <c:v>4.95</c:v>
              </c:pt>
              <c:pt idx="199">
                <c:v>4.9749999999999996</c:v>
              </c:pt>
              <c:pt idx="200">
                <c:v>5</c:v>
              </c:pt>
            </c:numLit>
          </c:cat>
          <c:val>
            <c:numRef>
              <c:f>'Calculations - Single'!$BU$5:$BU$105</c:f>
              <c:numCache>
                <c:formatCode>0.0</c:formatCode>
                <c:ptCount val="101"/>
                <c:pt idx="0">
                  <c:v>0.88376608569668713</c:v>
                </c:pt>
                <c:pt idx="1">
                  <c:v>2.4106123104359565</c:v>
                </c:pt>
                <c:pt idx="2">
                  <c:v>4.8531756916687732</c:v>
                </c:pt>
                <c:pt idx="3">
                  <c:v>7.3418261903691979</c:v>
                </c:pt>
                <c:pt idx="4">
                  <c:v>9.8870939339505934</c:v>
                </c:pt>
                <c:pt idx="5">
                  <c:v>12.497805501882901</c:v>
                </c:pt>
                <c:pt idx="6">
                  <c:v>15.181720282525919</c:v>
                </c:pt>
                <c:pt idx="7">
                  <c:v>17.945845776514339</c:v>
                </c:pt>
                <c:pt idx="8">
                  <c:v>20.7966221334007</c:v>
                </c:pt>
                <c:pt idx="9">
                  <c:v>23.740041435937311</c:v>
                </c:pt>
                <c:pt idx="10">
                  <c:v>26.781730160157974</c:v>
                </c:pt>
                <c:pt idx="11">
                  <c:v>29.92700902754364</c:v>
                </c:pt>
                <c:pt idx="12">
                  <c:v>34.421778617588473</c:v>
                </c:pt>
                <c:pt idx="13">
                  <c:v>40.69003811134283</c:v>
                </c:pt>
                <c:pt idx="14">
                  <c:v>43.940795010852817</c:v>
                </c:pt>
                <c:pt idx="15">
                  <c:v>47.202046126543685</c:v>
                </c:pt>
                <c:pt idx="16">
                  <c:v>50.47326153010583</c:v>
                </c:pt>
                <c:pt idx="17">
                  <c:v>53.753969837835136</c:v>
                </c:pt>
                <c:pt idx="18">
                  <c:v>57.043748644148899</c:v>
                </c:pt>
                <c:pt idx="19">
                  <c:v>60.342216968381749</c:v>
                </c:pt>
                <c:pt idx="20">
                  <c:v>63.649029206427414</c:v>
                </c:pt>
                <c:pt idx="21">
                  <c:v>66.963870226448449</c:v>
                </c:pt>
                <c:pt idx="22">
                  <c:v>70.286451347591296</c:v>
                </c:pt>
                <c:pt idx="23">
                  <c:v>73.616507009478497</c:v>
                </c:pt>
                <c:pt idx="24">
                  <c:v>76.953791988705277</c:v>
                </c:pt>
                <c:pt idx="25">
                  <c:v>80.298079053281768</c:v>
                </c:pt>
                <c:pt idx="26">
                  <c:v>83.649156971230241</c:v>
                </c:pt>
                <c:pt idx="27">
                  <c:v>87.006828808207686</c:v>
                </c:pt>
                <c:pt idx="28">
                  <c:v>90.370910462986146</c:v>
                </c:pt>
                <c:pt idx="29">
                  <c:v>93.741229400196374</c:v>
                </c:pt>
                <c:pt idx="30">
                  <c:v>97.117623547839401</c:v>
                </c:pt>
                <c:pt idx="31">
                  <c:v>100.49994033333353</c:v>
                </c:pt>
                <c:pt idx="32">
                  <c:v>103.88803583675758</c:v>
                </c:pt>
                <c:pt idx="33">
                  <c:v>104.0593793021809</c:v>
                </c:pt>
                <c:pt idx="34">
                  <c:v>103.39680704424207</c:v>
                </c:pt>
                <c:pt idx="35">
                  <c:v>102.77667473050063</c:v>
                </c:pt>
                <c:pt idx="36">
                  <c:v>112.76129127960607</c:v>
                </c:pt>
                <c:pt idx="37">
                  <c:v>115.38629127960604</c:v>
                </c:pt>
                <c:pt idx="38">
                  <c:v>118.01129127960603</c:v>
                </c:pt>
                <c:pt idx="39">
                  <c:v>120.63629127960606</c:v>
                </c:pt>
                <c:pt idx="40">
                  <c:v>123.26129127960604</c:v>
                </c:pt>
                <c:pt idx="41">
                  <c:v>125.88629127960601</c:v>
                </c:pt>
                <c:pt idx="42">
                  <c:v>128.51129127960607</c:v>
                </c:pt>
                <c:pt idx="43">
                  <c:v>131.13629127960607</c:v>
                </c:pt>
                <c:pt idx="44">
                  <c:v>133.76129127960607</c:v>
                </c:pt>
                <c:pt idx="45">
                  <c:v>136.3862912796061</c:v>
                </c:pt>
                <c:pt idx="46">
                  <c:v>139.01129127960607</c:v>
                </c:pt>
                <c:pt idx="47">
                  <c:v>141.63629127960601</c:v>
                </c:pt>
                <c:pt idx="48">
                  <c:v>144.26129127960604</c:v>
                </c:pt>
                <c:pt idx="49">
                  <c:v>146.8862912796061</c:v>
                </c:pt>
                <c:pt idx="50">
                  <c:v>149.51129127960607</c:v>
                </c:pt>
                <c:pt idx="51">
                  <c:v>152.13629127960601</c:v>
                </c:pt>
                <c:pt idx="52">
                  <c:v>154.76129127960601</c:v>
                </c:pt>
                <c:pt idx="53">
                  <c:v>157.38629127960604</c:v>
                </c:pt>
                <c:pt idx="54">
                  <c:v>160.01129127960607</c:v>
                </c:pt>
                <c:pt idx="55">
                  <c:v>162.63629127960604</c:v>
                </c:pt>
                <c:pt idx="56">
                  <c:v>165.26129127960604</c:v>
                </c:pt>
                <c:pt idx="57">
                  <c:v>167.88629127960604</c:v>
                </c:pt>
                <c:pt idx="58">
                  <c:v>170.51129127960601</c:v>
                </c:pt>
                <c:pt idx="59">
                  <c:v>173.13629127960607</c:v>
                </c:pt>
                <c:pt idx="60">
                  <c:v>175.76129127960598</c:v>
                </c:pt>
                <c:pt idx="61">
                  <c:v>178.38629127960604</c:v>
                </c:pt>
                <c:pt idx="62">
                  <c:v>181.0112912796061</c:v>
                </c:pt>
                <c:pt idx="63">
                  <c:v>183.63629127960601</c:v>
                </c:pt>
                <c:pt idx="64">
                  <c:v>186.26129127960601</c:v>
                </c:pt>
                <c:pt idx="65">
                  <c:v>188.8862912796061</c:v>
                </c:pt>
                <c:pt idx="66">
                  <c:v>191.51129127960604</c:v>
                </c:pt>
                <c:pt idx="67">
                  <c:v>194.1362912796061</c:v>
                </c:pt>
                <c:pt idx="68">
                  <c:v>196.76129127960604</c:v>
                </c:pt>
                <c:pt idx="69">
                  <c:v>199.38629127960604</c:v>
                </c:pt>
                <c:pt idx="70">
                  <c:v>202.01129127960607</c:v>
                </c:pt>
                <c:pt idx="71">
                  <c:v>204.63629127960607</c:v>
                </c:pt>
                <c:pt idx="72">
                  <c:v>207.26129127960601</c:v>
                </c:pt>
                <c:pt idx="73">
                  <c:v>209.8862912796061</c:v>
                </c:pt>
                <c:pt idx="74">
                  <c:v>212.51129127960598</c:v>
                </c:pt>
                <c:pt idx="75">
                  <c:v>215.13629127960598</c:v>
                </c:pt>
                <c:pt idx="76">
                  <c:v>217.7612912796061</c:v>
                </c:pt>
                <c:pt idx="77">
                  <c:v>220.38629127960607</c:v>
                </c:pt>
                <c:pt idx="78">
                  <c:v>223.01129127960604</c:v>
                </c:pt>
                <c:pt idx="79">
                  <c:v>225.63629127960604</c:v>
                </c:pt>
                <c:pt idx="80">
                  <c:v>228.26129127960601</c:v>
                </c:pt>
                <c:pt idx="81">
                  <c:v>230.88629127960598</c:v>
                </c:pt>
                <c:pt idx="82">
                  <c:v>233.51129127960598</c:v>
                </c:pt>
                <c:pt idx="83">
                  <c:v>236.13629127960598</c:v>
                </c:pt>
                <c:pt idx="84">
                  <c:v>238.76129127960604</c:v>
                </c:pt>
                <c:pt idx="85">
                  <c:v>241.38629127960604</c:v>
                </c:pt>
                <c:pt idx="86">
                  <c:v>244.01129127960607</c:v>
                </c:pt>
                <c:pt idx="87">
                  <c:v>246.63629127960604</c:v>
                </c:pt>
                <c:pt idx="88">
                  <c:v>249.2612912796061</c:v>
                </c:pt>
                <c:pt idx="89">
                  <c:v>251.88629127960598</c:v>
                </c:pt>
                <c:pt idx="90">
                  <c:v>254.51129127960621</c:v>
                </c:pt>
                <c:pt idx="91">
                  <c:v>257.13629127960616</c:v>
                </c:pt>
                <c:pt idx="92">
                  <c:v>259.7612912796061</c:v>
                </c:pt>
                <c:pt idx="93">
                  <c:v>262.38629127960604</c:v>
                </c:pt>
                <c:pt idx="94">
                  <c:v>265.01129127960604</c:v>
                </c:pt>
                <c:pt idx="95">
                  <c:v>267.6362912796061</c:v>
                </c:pt>
                <c:pt idx="96">
                  <c:v>270.2612912796061</c:v>
                </c:pt>
                <c:pt idx="97">
                  <c:v>272.88629127960598</c:v>
                </c:pt>
                <c:pt idx="98">
                  <c:v>272.40013735014395</c:v>
                </c:pt>
                <c:pt idx="99">
                  <c:v>270.04358999596082</c:v>
                </c:pt>
                <c:pt idx="100">
                  <c:v>267.69377552342632</c:v>
                </c:pt>
              </c:numCache>
            </c:numRef>
          </c:val>
          <c:smooth val="0"/>
        </c:ser>
        <c:dLbls>
          <c:showLegendKey val="0"/>
          <c:showVal val="0"/>
          <c:showCatName val="0"/>
          <c:showSerName val="0"/>
          <c:showPercent val="0"/>
          <c:showBubbleSize val="0"/>
        </c:dLbls>
        <c:marker val="1"/>
        <c:smooth val="0"/>
        <c:axId val="139841536"/>
        <c:axId val="139827072"/>
      </c:lineChart>
      <c:catAx>
        <c:axId val="139814784"/>
        <c:scaling>
          <c:orientation val="minMax"/>
        </c:scaling>
        <c:delete val="0"/>
        <c:axPos val="b"/>
        <c:majorGridlines>
          <c:spPr>
            <a:ln w="15875">
              <a:solidFill>
                <a:srgbClr val="969696"/>
              </a:solidFill>
              <a:prstDash val="sysDash"/>
            </a:ln>
          </c:spPr>
        </c:majorGridlines>
        <c:minorGridlines/>
        <c:title>
          <c:tx>
            <c:rich>
              <a:bodyPr/>
              <a:lstStyle/>
              <a:p>
                <a:pPr>
                  <a:defRPr sz="1200" b="1" i="0" u="none" strike="noStrike" baseline="0">
                    <a:solidFill>
                      <a:srgbClr val="0000FF"/>
                    </a:solidFill>
                    <a:latin typeface="Arial" pitchFamily="34" charset="0"/>
                    <a:ea typeface="Calibri"/>
                    <a:cs typeface="Arial" pitchFamily="34" charset="0"/>
                  </a:defRPr>
                </a:pPr>
                <a:r>
                  <a:rPr lang="en-US" sz="1200">
                    <a:solidFill>
                      <a:srgbClr val="0000FF"/>
                    </a:solidFill>
                    <a:latin typeface="Arial" pitchFamily="34" charset="0"/>
                    <a:cs typeface="Arial" pitchFamily="34" charset="0"/>
                  </a:rPr>
                  <a:t>Load Current (mA)</a:t>
                </a:r>
              </a:p>
            </c:rich>
          </c:tx>
          <c:layout>
            <c:manualLayout>
              <c:xMode val="edge"/>
              <c:yMode val="edge"/>
              <c:x val="0.42471011396394504"/>
              <c:y val="0.93853771636955563"/>
            </c:manualLayout>
          </c:layout>
          <c:overlay val="0"/>
          <c:spPr>
            <a:noFill/>
            <a:ln w="25400">
              <a:noFill/>
            </a:ln>
          </c:spPr>
        </c:title>
        <c:numFmt formatCode="0" sourceLinked="1"/>
        <c:majorTickMark val="in"/>
        <c:minorTickMark val="in"/>
        <c:tickLblPos val="nextTo"/>
        <c:spPr>
          <a:ln w="3175">
            <a:solidFill>
              <a:srgbClr val="000000"/>
            </a:solidFill>
            <a:prstDash val="solid"/>
          </a:ln>
        </c:spPr>
        <c:txPr>
          <a:bodyPr rot="0" vert="horz"/>
          <a:lstStyle/>
          <a:p>
            <a:pPr>
              <a:defRPr sz="1100" b="1" i="0" u="none" strike="noStrike" baseline="0">
                <a:solidFill>
                  <a:srgbClr val="0000FF"/>
                </a:solidFill>
                <a:latin typeface="Arial" pitchFamily="34" charset="0"/>
                <a:ea typeface="Calibri"/>
                <a:cs typeface="Arial" pitchFamily="34" charset="0"/>
              </a:defRPr>
            </a:pPr>
            <a:endParaRPr lang="ko-KR"/>
          </a:p>
        </c:txPr>
        <c:crossAx val="139825152"/>
        <c:crosses val="autoZero"/>
        <c:auto val="1"/>
        <c:lblAlgn val="ctr"/>
        <c:lblOffset val="100"/>
        <c:tickLblSkip val="20"/>
        <c:tickMarkSkip val="20"/>
        <c:noMultiLvlLbl val="0"/>
      </c:catAx>
      <c:valAx>
        <c:axId val="139825152"/>
        <c:scaling>
          <c:orientation val="minMax"/>
          <c:max val="100"/>
          <c:min val="55"/>
        </c:scaling>
        <c:delete val="0"/>
        <c:axPos val="l"/>
        <c:majorGridlines>
          <c:spPr>
            <a:ln w="15875">
              <a:solidFill>
                <a:srgbClr val="808080"/>
              </a:solidFill>
              <a:prstDash val="solid"/>
            </a:ln>
          </c:spPr>
        </c:majorGridlines>
        <c:title>
          <c:tx>
            <c:rich>
              <a:bodyPr/>
              <a:lstStyle/>
              <a:p>
                <a:pPr>
                  <a:defRPr sz="1400" b="1" i="0" u="none" strike="noStrike" baseline="0">
                    <a:solidFill>
                      <a:srgbClr val="FF0000"/>
                    </a:solidFill>
                    <a:latin typeface="Arial" pitchFamily="34" charset="0"/>
                    <a:ea typeface="Calibri"/>
                    <a:cs typeface="Arial" pitchFamily="34" charset="0"/>
                  </a:defRPr>
                </a:pPr>
                <a:r>
                  <a:rPr lang="en-US" sz="1200" b="1">
                    <a:solidFill>
                      <a:srgbClr val="FF0000"/>
                    </a:solidFill>
                    <a:latin typeface="Arial" pitchFamily="34" charset="0"/>
                    <a:cs typeface="Arial" pitchFamily="34" charset="0"/>
                  </a:rPr>
                  <a:t>Efficiency  (%)</a:t>
                </a:r>
              </a:p>
            </c:rich>
          </c:tx>
          <c:layout>
            <c:manualLayout>
              <c:xMode val="edge"/>
              <c:yMode val="edge"/>
              <c:x val="1.2871858674081443E-2"/>
              <c:y val="0.37638177915688309"/>
            </c:manualLayout>
          </c:layout>
          <c:overlay val="0"/>
          <c:spPr>
            <a:noFill/>
            <a:ln w="25400">
              <a:noFill/>
            </a:ln>
          </c:spPr>
        </c:title>
        <c:numFmt formatCode="General" sourceLinked="0"/>
        <c:majorTickMark val="in"/>
        <c:minorTickMark val="in"/>
        <c:tickLblPos val="nextTo"/>
        <c:spPr>
          <a:ln w="3175">
            <a:solidFill>
              <a:srgbClr val="000000"/>
            </a:solidFill>
            <a:prstDash val="solid"/>
          </a:ln>
        </c:spPr>
        <c:txPr>
          <a:bodyPr rot="0" vert="horz"/>
          <a:lstStyle/>
          <a:p>
            <a:pPr>
              <a:defRPr sz="1100" b="1" i="0" u="none" strike="noStrike" baseline="0">
                <a:solidFill>
                  <a:srgbClr val="FF0000"/>
                </a:solidFill>
                <a:latin typeface="Arial" pitchFamily="34" charset="0"/>
                <a:ea typeface="Calibri"/>
                <a:cs typeface="Arial" pitchFamily="34" charset="0"/>
              </a:defRPr>
            </a:pPr>
            <a:endParaRPr lang="ko-KR"/>
          </a:p>
        </c:txPr>
        <c:crossAx val="139814784"/>
        <c:crossesAt val="0"/>
        <c:crossBetween val="between"/>
        <c:majorUnit val="5"/>
        <c:minorUnit val="2.5"/>
      </c:valAx>
      <c:valAx>
        <c:axId val="139827072"/>
        <c:scaling>
          <c:orientation val="minMax"/>
        </c:scaling>
        <c:delete val="0"/>
        <c:axPos val="r"/>
        <c:title>
          <c:tx>
            <c:rich>
              <a:bodyPr rot="-5400000" vert="horz"/>
              <a:lstStyle/>
              <a:p>
                <a:pPr>
                  <a:defRPr sz="1200" b="1"/>
                </a:pPr>
                <a:r>
                  <a:rPr lang="en-US" sz="1200" b="1"/>
                  <a:t>Power Loss (mW)</a:t>
                </a:r>
              </a:p>
            </c:rich>
          </c:tx>
          <c:layout>
            <c:manualLayout>
              <c:xMode val="edge"/>
              <c:yMode val="edge"/>
              <c:x val="0.95168474305601269"/>
              <c:y val="0.38117714045368295"/>
            </c:manualLayout>
          </c:layout>
          <c:overlay val="0"/>
        </c:title>
        <c:numFmt formatCode="General" sourceLinked="0"/>
        <c:majorTickMark val="out"/>
        <c:minorTickMark val="none"/>
        <c:tickLblPos val="nextTo"/>
        <c:txPr>
          <a:bodyPr/>
          <a:lstStyle/>
          <a:p>
            <a:pPr>
              <a:defRPr sz="1100" b="1">
                <a:solidFill>
                  <a:sysClr val="windowText" lastClr="000000"/>
                </a:solidFill>
              </a:defRPr>
            </a:pPr>
            <a:endParaRPr lang="ko-KR"/>
          </a:p>
        </c:txPr>
        <c:crossAx val="139841536"/>
        <c:crosses val="max"/>
        <c:crossBetween val="between"/>
      </c:valAx>
      <c:catAx>
        <c:axId val="139841536"/>
        <c:scaling>
          <c:orientation val="minMax"/>
        </c:scaling>
        <c:delete val="1"/>
        <c:axPos val="b"/>
        <c:numFmt formatCode="General" sourceLinked="1"/>
        <c:majorTickMark val="out"/>
        <c:minorTickMark val="none"/>
        <c:tickLblPos val="nextTo"/>
        <c:crossAx val="139827072"/>
        <c:crosses val="autoZero"/>
        <c:auto val="1"/>
        <c:lblAlgn val="ctr"/>
        <c:lblOffset val="100"/>
        <c:noMultiLvlLbl val="0"/>
      </c:catAx>
      <c:spPr>
        <a:noFill/>
        <a:ln w="25400">
          <a:noFill/>
        </a:ln>
      </c:spPr>
    </c:plotArea>
    <c:legend>
      <c:legendPos val="t"/>
      <c:layout>
        <c:manualLayout>
          <c:xMode val="edge"/>
          <c:yMode val="edge"/>
          <c:x val="0.40102557566231317"/>
          <c:y val="1.1892633038167682E-2"/>
          <c:w val="0.54467583520385743"/>
          <c:h val="8.9795049320617604E-2"/>
        </c:manualLayout>
      </c:layout>
      <c:overlay val="0"/>
      <c:spPr>
        <a:solidFill>
          <a:srgbClr val="FFFFFF"/>
        </a:solidFill>
        <a:ln w="25400">
          <a:noFill/>
        </a:ln>
      </c:spPr>
      <c:txPr>
        <a:bodyPr/>
        <a:lstStyle/>
        <a:p>
          <a:pPr>
            <a:defRPr sz="1100" b="0" i="0" u="none" strike="noStrike" baseline="0">
              <a:solidFill>
                <a:srgbClr val="000000"/>
              </a:solidFill>
              <a:latin typeface="Arial" pitchFamily="34" charset="0"/>
              <a:ea typeface="Calibri"/>
              <a:cs typeface="Arial" pitchFamily="34" charset="0"/>
            </a:defRPr>
          </a:pPr>
          <a:endParaRPr lang="ko-KR"/>
        </a:p>
      </c:txPr>
    </c:legend>
    <c:plotVisOnly val="1"/>
    <c:dispBlanksAs val="gap"/>
    <c:showDLblsOverMax val="0"/>
  </c:chart>
  <c:spPr>
    <a:solidFill>
      <a:srgbClr val="FFFFFF"/>
    </a:solidFill>
    <a:ln w="9525">
      <a:solidFill>
        <a:srgbClr val="808080"/>
      </a:solidFill>
    </a:ln>
  </c:spPr>
  <c:txPr>
    <a:bodyPr/>
    <a:lstStyle/>
    <a:p>
      <a:pPr>
        <a:defRPr sz="850" b="0" i="0" u="none" strike="noStrike" baseline="0">
          <a:solidFill>
            <a:srgbClr val="000000"/>
          </a:solidFill>
          <a:latin typeface="Arial"/>
          <a:ea typeface="Arial"/>
          <a:cs typeface="Arial"/>
        </a:defRPr>
      </a:pPr>
      <a:endParaRPr lang="ko-KR"/>
    </a:p>
  </c:txPr>
  <c:printSettings>
    <c:headerFooter alignWithMargins="0"/>
    <c:pageMargins b="1" l="0.750000000000006" r="0.750000000000006" t="1" header="0.5" footer="0.5"/>
    <c:pageSetup paperSize="5"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ko-K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rgbClr val="000000"/>
                </a:solidFill>
                <a:latin typeface="Arial" pitchFamily="34" charset="0"/>
                <a:ea typeface="Calibri"/>
                <a:cs typeface="Arial" pitchFamily="34" charset="0"/>
              </a:defRPr>
            </a:pPr>
            <a:r>
              <a:rPr lang="en-US" sz="1800" b="1" i="0" baseline="0">
                <a:effectLst/>
                <a:sym typeface="Symbol"/>
              </a:rPr>
              <a:t></a:t>
            </a:r>
            <a:r>
              <a:rPr lang="en-US" sz="1800" b="1" i="0" baseline="0">
                <a:effectLst/>
              </a:rPr>
              <a:t>, V</a:t>
            </a:r>
            <a:r>
              <a:rPr lang="en-US" sz="1800" b="1" i="0" baseline="-25000">
                <a:effectLst/>
              </a:rPr>
              <a:t>IN</a:t>
            </a:r>
            <a:r>
              <a:rPr lang="en-US" sz="1800" b="1" i="0" baseline="0">
                <a:effectLst/>
              </a:rPr>
              <a:t> = V</a:t>
            </a:r>
            <a:r>
              <a:rPr lang="en-US" sz="1800" b="1" i="0" baseline="-25000">
                <a:effectLst/>
              </a:rPr>
              <a:t>IN(nom)</a:t>
            </a:r>
            <a:endParaRPr lang="en-US">
              <a:effectLst/>
            </a:endParaRPr>
          </a:p>
        </c:rich>
      </c:tx>
      <c:layout>
        <c:manualLayout>
          <c:xMode val="edge"/>
          <c:yMode val="edge"/>
          <c:x val="8.2586704916618195E-2"/>
          <c:y val="1.8363289746112718E-2"/>
        </c:manualLayout>
      </c:layout>
      <c:overlay val="0"/>
      <c:spPr>
        <a:noFill/>
        <a:ln w="25400">
          <a:noFill/>
        </a:ln>
      </c:spPr>
    </c:title>
    <c:autoTitleDeleted val="0"/>
    <c:plotArea>
      <c:layout>
        <c:manualLayout>
          <c:layoutTarget val="inner"/>
          <c:xMode val="edge"/>
          <c:yMode val="edge"/>
          <c:x val="7.6761884085804283E-2"/>
          <c:y val="0.12133523343001466"/>
          <c:w val="0.82579990228506128"/>
          <c:h val="0.7558980268938309"/>
        </c:manualLayout>
      </c:layout>
      <c:lineChart>
        <c:grouping val="standard"/>
        <c:varyColors val="0"/>
        <c:ser>
          <c:idx val="0"/>
          <c:order val="0"/>
          <c:tx>
            <c:v>Efficiency</c:v>
          </c:tx>
          <c:spPr>
            <a:ln w="38100">
              <a:solidFill>
                <a:srgbClr val="FF0000"/>
              </a:solidFill>
              <a:prstDash val="solid"/>
            </a:ln>
          </c:spPr>
          <c:marker>
            <c:symbol val="none"/>
          </c:marker>
          <c:cat>
            <c:numRef>
              <c:f>'Calculations - Dual'!$BZ$5:$BZ$105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11.000000000000002</c:v>
                </c:pt>
                <c:pt idx="12">
                  <c:v>12</c:v>
                </c:pt>
                <c:pt idx="13">
                  <c:v>13</c:v>
                </c:pt>
                <c:pt idx="14">
                  <c:v>14.000000000000002</c:v>
                </c:pt>
                <c:pt idx="15">
                  <c:v>15</c:v>
                </c:pt>
                <c:pt idx="16">
                  <c:v>16</c:v>
                </c:pt>
                <c:pt idx="17">
                  <c:v>17</c:v>
                </c:pt>
                <c:pt idx="18">
                  <c:v>18</c:v>
                </c:pt>
                <c:pt idx="19">
                  <c:v>19</c:v>
                </c:pt>
                <c:pt idx="20">
                  <c:v>20</c:v>
                </c:pt>
                <c:pt idx="21">
                  <c:v>21.000000000000004</c:v>
                </c:pt>
                <c:pt idx="22">
                  <c:v>22.000000000000004</c:v>
                </c:pt>
                <c:pt idx="23">
                  <c:v>23.000000000000004</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42.000000000000007</c:v>
                </c:pt>
                <c:pt idx="43">
                  <c:v>43.000000000000007</c:v>
                </c:pt>
                <c:pt idx="44">
                  <c:v>44.000000000000007</c:v>
                </c:pt>
                <c:pt idx="45">
                  <c:v>45.000000000000007</c:v>
                </c:pt>
                <c:pt idx="46">
                  <c:v>46.000000000000007</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84.000000000000014</c:v>
                </c:pt>
                <c:pt idx="85">
                  <c:v>85.000000000000014</c:v>
                </c:pt>
                <c:pt idx="86">
                  <c:v>86.000000000000014</c:v>
                </c:pt>
                <c:pt idx="87">
                  <c:v>87.000000000000014</c:v>
                </c:pt>
                <c:pt idx="88">
                  <c:v>88.000000000000014</c:v>
                </c:pt>
                <c:pt idx="89">
                  <c:v>89.000000000000014</c:v>
                </c:pt>
                <c:pt idx="90">
                  <c:v>90.000000000000014</c:v>
                </c:pt>
                <c:pt idx="91">
                  <c:v>91.000000000000014</c:v>
                </c:pt>
                <c:pt idx="92">
                  <c:v>92.000000000000014</c:v>
                </c:pt>
                <c:pt idx="93">
                  <c:v>93.000000000000014</c:v>
                </c:pt>
                <c:pt idx="94">
                  <c:v>94</c:v>
                </c:pt>
                <c:pt idx="95">
                  <c:v>95</c:v>
                </c:pt>
                <c:pt idx="96">
                  <c:v>96</c:v>
                </c:pt>
                <c:pt idx="97">
                  <c:v>97</c:v>
                </c:pt>
                <c:pt idx="98">
                  <c:v>98</c:v>
                </c:pt>
                <c:pt idx="99">
                  <c:v>99</c:v>
                </c:pt>
                <c:pt idx="100">
                  <c:v>100</c:v>
                </c:pt>
              </c:numCache>
            </c:numRef>
          </c:cat>
          <c:val>
            <c:numRef>
              <c:f>'Calculations - Dual'!$BY$5:$BY$105</c:f>
              <c:numCache>
                <c:formatCode>0.00</c:formatCode>
                <c:ptCount val="101"/>
                <c:pt idx="0">
                  <c:v>2.7948906706872271E-4</c:v>
                </c:pt>
                <c:pt idx="1">
                  <c:v>82.845983106727772</c:v>
                </c:pt>
                <c:pt idx="2">
                  <c:v>85.888215458624671</c:v>
                </c:pt>
                <c:pt idx="3">
                  <c:v>86.935729293932013</c:v>
                </c:pt>
                <c:pt idx="4">
                  <c:v>87.453435056123624</c:v>
                </c:pt>
                <c:pt idx="5">
                  <c:v>87.752419107844943</c:v>
                </c:pt>
                <c:pt idx="6">
                  <c:v>87.939204033497788</c:v>
                </c:pt>
                <c:pt idx="7">
                  <c:v>88.060229633114417</c:v>
                </c:pt>
                <c:pt idx="8">
                  <c:v>88.139021305995328</c:v>
                </c:pt>
                <c:pt idx="9">
                  <c:v>87.922088736440656</c:v>
                </c:pt>
                <c:pt idx="10">
                  <c:v>87.384365821787426</c:v>
                </c:pt>
                <c:pt idx="11">
                  <c:v>86.832139591280139</c:v>
                </c:pt>
                <c:pt idx="12">
                  <c:v>86.26593250214033</c:v>
                </c:pt>
                <c:pt idx="13">
                  <c:v>85.793163541064445</c:v>
                </c:pt>
                <c:pt idx="14">
                  <c:v>86.001217352591468</c:v>
                </c:pt>
                <c:pt idx="15">
                  <c:v>86.183055818484704</c:v>
                </c:pt>
                <c:pt idx="16">
                  <c:v>86.343259177018723</c:v>
                </c:pt>
                <c:pt idx="17">
                  <c:v>86.485390260865699</c:v>
                </c:pt>
                <c:pt idx="18">
                  <c:v>86.612263876000853</c:v>
                </c:pt>
                <c:pt idx="19">
                  <c:v>86.726134541858528</c:v>
                </c:pt>
                <c:pt idx="20">
                  <c:v>86.828830153043384</c:v>
                </c:pt>
                <c:pt idx="21">
                  <c:v>86.921848956917671</c:v>
                </c:pt>
                <c:pt idx="22">
                  <c:v>87.446050493545627</c:v>
                </c:pt>
                <c:pt idx="23">
                  <c:v>87.923169682606101</c:v>
                </c:pt>
                <c:pt idx="24">
                  <c:v>88.355831008170213</c:v>
                </c:pt>
                <c:pt idx="25">
                  <c:v>88.749729267829636</c:v>
                </c:pt>
                <c:pt idx="26">
                  <c:v>89.109654138131006</c:v>
                </c:pt>
                <c:pt idx="27">
                  <c:v>89.439659079861073</c:v>
                </c:pt>
                <c:pt idx="28">
                  <c:v>89.743194498029226</c:v>
                </c:pt>
                <c:pt idx="29">
                  <c:v>90.023213532936168</c:v>
                </c:pt>
                <c:pt idx="30">
                  <c:v>90.282256723021021</c:v>
                </c:pt>
                <c:pt idx="31">
                  <c:v>90.522520228992789</c:v>
                </c:pt>
                <c:pt idx="32">
                  <c:v>90.745911172217873</c:v>
                </c:pt>
                <c:pt idx="33">
                  <c:v>90.954092800529736</c:v>
                </c:pt>
                <c:pt idx="34">
                  <c:v>91.14852156898759</c:v>
                </c:pt>
                <c:pt idx="35">
                  <c:v>91.330477753341015</c:v>
                </c:pt>
                <c:pt idx="36">
                  <c:v>87.586518805042871</c:v>
                </c:pt>
                <c:pt idx="37">
                  <c:v>87.616144572518124</c:v>
                </c:pt>
                <c:pt idx="38">
                  <c:v>87.641373298606268</c:v>
                </c:pt>
                <c:pt idx="39">
                  <c:v>87.662572519921497</c:v>
                </c:pt>
                <c:pt idx="40">
                  <c:v>87.680070712279075</c:v>
                </c:pt>
                <c:pt idx="41">
                  <c:v>87.69416230614587</c:v>
                </c:pt>
                <c:pt idx="42">
                  <c:v>87.70511195344659</c:v>
                </c:pt>
                <c:pt idx="43">
                  <c:v>87.713158172243155</c:v>
                </c:pt>
                <c:pt idx="44">
                  <c:v>87.718516472058212</c:v>
                </c:pt>
                <c:pt idx="45">
                  <c:v>87.721382043745592</c:v>
                </c:pt>
                <c:pt idx="46">
                  <c:v>87.721932082736586</c:v>
                </c:pt>
                <c:pt idx="47">
                  <c:v>87.72032780238554</c:v>
                </c:pt>
                <c:pt idx="48">
                  <c:v>87.716716184367044</c:v>
                </c:pt>
                <c:pt idx="49">
                  <c:v>87.711231505152767</c:v>
                </c:pt>
                <c:pt idx="50">
                  <c:v>87.703996671139535</c:v>
                </c:pt>
                <c:pt idx="51">
                  <c:v>87.695124389717265</c:v>
                </c:pt>
                <c:pt idx="52">
                  <c:v>87.684718199223113</c:v>
                </c:pt>
                <c:pt idx="53">
                  <c:v>87.672873377146615</c:v>
                </c:pt>
                <c:pt idx="54">
                  <c:v>87.659677742982524</c:v>
                </c:pt>
                <c:pt idx="55">
                  <c:v>87.64521236966138</c:v>
                </c:pt>
                <c:pt idx="56">
                  <c:v>87.629552215429257</c:v>
                </c:pt>
                <c:pt idx="57">
                  <c:v>87.612766686324576</c:v>
                </c:pt>
                <c:pt idx="58">
                  <c:v>87.594920137951945</c:v>
                </c:pt>
                <c:pt idx="59">
                  <c:v>87.576072324032523</c:v>
                </c:pt>
                <c:pt idx="60">
                  <c:v>87.556278798179122</c:v>
                </c:pt>
                <c:pt idx="61">
                  <c:v>87.535591274469084</c:v>
                </c:pt>
                <c:pt idx="62">
                  <c:v>87.514057951644844</c:v>
                </c:pt>
                <c:pt idx="63">
                  <c:v>87.491723805136672</c:v>
                </c:pt>
                <c:pt idx="64">
                  <c:v>87.573300608051426</c:v>
                </c:pt>
                <c:pt idx="65">
                  <c:v>87.757634054148056</c:v>
                </c:pt>
                <c:pt idx="66">
                  <c:v>87.936348645497404</c:v>
                </c:pt>
                <c:pt idx="67">
                  <c:v>88.109675536601401</c:v>
                </c:pt>
                <c:pt idx="68">
                  <c:v>88.27783394072928</c:v>
                </c:pt>
                <c:pt idx="69">
                  <c:v>88.441031871154308</c:v>
                </c:pt>
                <c:pt idx="70">
                  <c:v>88.599466828739509</c:v>
                </c:pt>
                <c:pt idx="71">
                  <c:v>88.753326440302033</c:v>
                </c:pt>
                <c:pt idx="72">
                  <c:v>88.902789051776026</c:v>
                </c:pt>
                <c:pt idx="73">
                  <c:v>89.048024279825157</c:v>
                </c:pt>
                <c:pt idx="74">
                  <c:v>89.189193525225136</c:v>
                </c:pt>
                <c:pt idx="75">
                  <c:v>89.326450451039207</c:v>
                </c:pt>
                <c:pt idx="76">
                  <c:v>89.370737608462576</c:v>
                </c:pt>
                <c:pt idx="77">
                  <c:v>89.378107812846096</c:v>
                </c:pt>
                <c:pt idx="78">
                  <c:v>89.38493751433964</c:v>
                </c:pt>
                <c:pt idx="79">
                  <c:v>89.39123754576687</c:v>
                </c:pt>
                <c:pt idx="80">
                  <c:v>89.397018464171367</c:v>
                </c:pt>
                <c:pt idx="81">
                  <c:v>89.402290559533057</c:v>
                </c:pt>
                <c:pt idx="82">
                  <c:v>89.407063863156097</c:v>
                </c:pt>
                <c:pt idx="83">
                  <c:v>89.411348155742118</c:v>
                </c:pt>
                <c:pt idx="84">
                  <c:v>89.415152975163011</c:v>
                </c:pt>
                <c:pt idx="85">
                  <c:v>89.418487623945751</c:v>
                </c:pt>
                <c:pt idx="86">
                  <c:v>89.421361176482009</c:v>
                </c:pt>
                <c:pt idx="87">
                  <c:v>89.423782485973931</c:v>
                </c:pt>
                <c:pt idx="88">
                  <c:v>89.425760191127708</c:v>
                </c:pt>
                <c:pt idx="89">
                  <c:v>89.427302722605035</c:v>
                </c:pt>
                <c:pt idx="90">
                  <c:v>89.428418309243199</c:v>
                </c:pt>
                <c:pt idx="91">
                  <c:v>89.429114984052802</c:v>
                </c:pt>
                <c:pt idx="92">
                  <c:v>89.429400590002913</c:v>
                </c:pt>
                <c:pt idx="93">
                  <c:v>89.429282785602055</c:v>
                </c:pt>
                <c:pt idx="94">
                  <c:v>89.428769050283265</c:v>
                </c:pt>
                <c:pt idx="95">
                  <c:v>89.427866689601814</c:v>
                </c:pt>
                <c:pt idx="96">
                  <c:v>89.426582840252294</c:v>
                </c:pt>
                <c:pt idx="97">
                  <c:v>89.424924474913155</c:v>
                </c:pt>
                <c:pt idx="98">
                  <c:v>89.422898406924972</c:v>
                </c:pt>
                <c:pt idx="99">
                  <c:v>89.42051129480943</c:v>
                </c:pt>
                <c:pt idx="100">
                  <c:v>89.41776964663525</c:v>
                </c:pt>
              </c:numCache>
            </c:numRef>
          </c:val>
          <c:smooth val="0"/>
        </c:ser>
        <c:dLbls>
          <c:showLegendKey val="0"/>
          <c:showVal val="0"/>
          <c:showCatName val="0"/>
          <c:showSerName val="0"/>
          <c:showPercent val="0"/>
          <c:showBubbleSize val="0"/>
        </c:dLbls>
        <c:marker val="1"/>
        <c:smooth val="0"/>
        <c:axId val="83487744"/>
        <c:axId val="132015232"/>
      </c:lineChart>
      <c:lineChart>
        <c:grouping val="standard"/>
        <c:varyColors val="0"/>
        <c:ser>
          <c:idx val="2"/>
          <c:order val="1"/>
          <c:tx>
            <c:strRef>
              <c:f>'Calculations - Dual'!$BK$3</c:f>
              <c:strCache>
                <c:ptCount val="1"/>
                <c:pt idx="0">
                  <c:v>Flyback Diode Loss</c:v>
                </c:pt>
              </c:strCache>
            </c:strRef>
          </c:tx>
          <c:spPr>
            <a:ln w="38100">
              <a:solidFill>
                <a:srgbClr val="808000"/>
              </a:solidFill>
              <a:prstDash val="sysDash"/>
            </a:ln>
          </c:spPr>
          <c:marker>
            <c:symbol val="none"/>
          </c:marker>
          <c:cat>
            <c:numLit>
              <c:formatCode>General</c:formatCode>
              <c:ptCount val="201"/>
              <c:pt idx="0">
                <c:v>0</c:v>
              </c:pt>
              <c:pt idx="1">
                <c:v>2.5000000000000001E-2</c:v>
              </c:pt>
              <c:pt idx="2">
                <c:v>0.05</c:v>
              </c:pt>
              <c:pt idx="3">
                <c:v>7.4999999999999997E-2</c:v>
              </c:pt>
              <c:pt idx="4">
                <c:v>0.1</c:v>
              </c:pt>
              <c:pt idx="5">
                <c:v>0.125</c:v>
              </c:pt>
              <c:pt idx="6">
                <c:v>0.15</c:v>
              </c:pt>
              <c:pt idx="7">
                <c:v>0.17500000000000002</c:v>
              </c:pt>
              <c:pt idx="8">
                <c:v>0.2</c:v>
              </c:pt>
              <c:pt idx="9">
                <c:v>0.22499999999999998</c:v>
              </c:pt>
              <c:pt idx="10">
                <c:v>0.25</c:v>
              </c:pt>
              <c:pt idx="11">
                <c:v>0.27500000000000002</c:v>
              </c:pt>
              <c:pt idx="12">
                <c:v>0.3</c:v>
              </c:pt>
              <c:pt idx="13">
                <c:v>0.32500000000000001</c:v>
              </c:pt>
              <c:pt idx="14">
                <c:v>0.35000000000000003</c:v>
              </c:pt>
              <c:pt idx="15">
                <c:v>0.375</c:v>
              </c:pt>
              <c:pt idx="16">
                <c:v>0.4</c:v>
              </c:pt>
              <c:pt idx="17">
                <c:v>0.42500000000000004</c:v>
              </c:pt>
              <c:pt idx="18">
                <c:v>0.44999999999999996</c:v>
              </c:pt>
              <c:pt idx="19">
                <c:v>0.47499999999999998</c:v>
              </c:pt>
              <c:pt idx="20">
                <c:v>0.5</c:v>
              </c:pt>
              <c:pt idx="21">
                <c:v>0.52500000000000002</c:v>
              </c:pt>
              <c:pt idx="22">
                <c:v>0.55000000000000004</c:v>
              </c:pt>
              <c:pt idx="23">
                <c:v>0.57500000000000007</c:v>
              </c:pt>
              <c:pt idx="24">
                <c:v>0.6</c:v>
              </c:pt>
              <c:pt idx="25">
                <c:v>0.625</c:v>
              </c:pt>
              <c:pt idx="26">
                <c:v>0.65</c:v>
              </c:pt>
              <c:pt idx="27">
                <c:v>0.67500000000000004</c:v>
              </c:pt>
              <c:pt idx="28">
                <c:v>0.70000000000000007</c:v>
              </c:pt>
              <c:pt idx="29">
                <c:v>0.72499999999999998</c:v>
              </c:pt>
              <c:pt idx="30">
                <c:v>0.75</c:v>
              </c:pt>
              <c:pt idx="31">
                <c:v>0.77500000000000002</c:v>
              </c:pt>
              <c:pt idx="32">
                <c:v>0.8</c:v>
              </c:pt>
              <c:pt idx="33">
                <c:v>0.82500000000000007</c:v>
              </c:pt>
              <c:pt idx="34">
                <c:v>0.85000000000000009</c:v>
              </c:pt>
              <c:pt idx="35">
                <c:v>0.875</c:v>
              </c:pt>
              <c:pt idx="36">
                <c:v>0.89999999999999991</c:v>
              </c:pt>
              <c:pt idx="37">
                <c:v>0.92500000000000004</c:v>
              </c:pt>
              <c:pt idx="38">
                <c:v>0.95</c:v>
              </c:pt>
              <c:pt idx="39">
                <c:v>0.97500000000000009</c:v>
              </c:pt>
              <c:pt idx="40">
                <c:v>1</c:v>
              </c:pt>
              <c:pt idx="41">
                <c:v>1.0249999999999999</c:v>
              </c:pt>
              <c:pt idx="42">
                <c:v>1.05</c:v>
              </c:pt>
              <c:pt idx="43">
                <c:v>1.075</c:v>
              </c:pt>
              <c:pt idx="44">
                <c:v>1.1000000000000001</c:v>
              </c:pt>
              <c:pt idx="45">
                <c:v>1.125</c:v>
              </c:pt>
              <c:pt idx="46">
                <c:v>1.1500000000000001</c:v>
              </c:pt>
              <c:pt idx="47">
                <c:v>1.1749999999999998</c:v>
              </c:pt>
              <c:pt idx="48">
                <c:v>1.2</c:v>
              </c:pt>
              <c:pt idx="49">
                <c:v>1.2250000000000001</c:v>
              </c:pt>
              <c:pt idx="50">
                <c:v>1.25</c:v>
              </c:pt>
              <c:pt idx="51">
                <c:v>1.2749999999999999</c:v>
              </c:pt>
              <c:pt idx="52">
                <c:v>1.3</c:v>
              </c:pt>
              <c:pt idx="53">
                <c:v>1.3250000000000002</c:v>
              </c:pt>
              <c:pt idx="54">
                <c:v>1.35</c:v>
              </c:pt>
              <c:pt idx="55">
                <c:v>1.375</c:v>
              </c:pt>
              <c:pt idx="56">
                <c:v>1.4000000000000001</c:v>
              </c:pt>
              <c:pt idx="57">
                <c:v>1.4249999999999998</c:v>
              </c:pt>
              <c:pt idx="58">
                <c:v>1.45</c:v>
              </c:pt>
              <c:pt idx="59">
                <c:v>1.4749999999999999</c:v>
              </c:pt>
              <c:pt idx="60">
                <c:v>1.5</c:v>
              </c:pt>
              <c:pt idx="61">
                <c:v>1.5249999999999999</c:v>
              </c:pt>
              <c:pt idx="62">
                <c:v>1.55</c:v>
              </c:pt>
              <c:pt idx="63">
                <c:v>1.575</c:v>
              </c:pt>
              <c:pt idx="64">
                <c:v>1.6</c:v>
              </c:pt>
              <c:pt idx="65">
                <c:v>1.625</c:v>
              </c:pt>
              <c:pt idx="66">
                <c:v>1.6500000000000001</c:v>
              </c:pt>
              <c:pt idx="67">
                <c:v>1.675</c:v>
              </c:pt>
              <c:pt idx="68">
                <c:v>1.7000000000000002</c:v>
              </c:pt>
              <c:pt idx="69">
                <c:v>1.7249999999999999</c:v>
              </c:pt>
              <c:pt idx="70">
                <c:v>1.75</c:v>
              </c:pt>
              <c:pt idx="71">
                <c:v>1.7749999999999999</c:v>
              </c:pt>
              <c:pt idx="72">
                <c:v>1.7999999999999998</c:v>
              </c:pt>
              <c:pt idx="73">
                <c:v>1.825</c:v>
              </c:pt>
              <c:pt idx="74">
                <c:v>1.85</c:v>
              </c:pt>
              <c:pt idx="75">
                <c:v>1.875</c:v>
              </c:pt>
              <c:pt idx="76">
                <c:v>1.9</c:v>
              </c:pt>
              <c:pt idx="77">
                <c:v>1.925</c:v>
              </c:pt>
              <c:pt idx="78">
                <c:v>1.9500000000000002</c:v>
              </c:pt>
              <c:pt idx="79">
                <c:v>1.9750000000000001</c:v>
              </c:pt>
              <c:pt idx="80">
                <c:v>2</c:v>
              </c:pt>
              <c:pt idx="81">
                <c:v>2.0250000000000004</c:v>
              </c:pt>
              <c:pt idx="82">
                <c:v>2.0499999999999998</c:v>
              </c:pt>
              <c:pt idx="83">
                <c:v>2.0749999999999997</c:v>
              </c:pt>
              <c:pt idx="84">
                <c:v>2.1</c:v>
              </c:pt>
              <c:pt idx="85">
                <c:v>2.125</c:v>
              </c:pt>
              <c:pt idx="86">
                <c:v>2.15</c:v>
              </c:pt>
              <c:pt idx="87">
                <c:v>2.1749999999999998</c:v>
              </c:pt>
              <c:pt idx="88">
                <c:v>2.2000000000000002</c:v>
              </c:pt>
              <c:pt idx="89">
                <c:v>2.2250000000000001</c:v>
              </c:pt>
              <c:pt idx="90">
                <c:v>2.25</c:v>
              </c:pt>
              <c:pt idx="91">
                <c:v>2.2749999999999999</c:v>
              </c:pt>
              <c:pt idx="92">
                <c:v>2.3000000000000003</c:v>
              </c:pt>
              <c:pt idx="93">
                <c:v>2.3250000000000002</c:v>
              </c:pt>
              <c:pt idx="94">
                <c:v>2.3499999999999996</c:v>
              </c:pt>
              <c:pt idx="95">
                <c:v>2.375</c:v>
              </c:pt>
              <c:pt idx="96">
                <c:v>2.4</c:v>
              </c:pt>
              <c:pt idx="97">
                <c:v>2.4249999999999998</c:v>
              </c:pt>
              <c:pt idx="98">
                <c:v>2.4500000000000002</c:v>
              </c:pt>
              <c:pt idx="99">
                <c:v>2.4750000000000001</c:v>
              </c:pt>
              <c:pt idx="100">
                <c:v>2.5</c:v>
              </c:pt>
              <c:pt idx="101">
                <c:v>2.5249999999999999</c:v>
              </c:pt>
              <c:pt idx="102">
                <c:v>2.5499999999999998</c:v>
              </c:pt>
              <c:pt idx="103">
                <c:v>2.5750000000000002</c:v>
              </c:pt>
              <c:pt idx="104">
                <c:v>2.6</c:v>
              </c:pt>
              <c:pt idx="105">
                <c:v>2.625</c:v>
              </c:pt>
              <c:pt idx="106">
                <c:v>2.6500000000000004</c:v>
              </c:pt>
              <c:pt idx="107">
                <c:v>2.6750000000000003</c:v>
              </c:pt>
              <c:pt idx="108">
                <c:v>2.7</c:v>
              </c:pt>
              <c:pt idx="109">
                <c:v>2.7250000000000001</c:v>
              </c:pt>
              <c:pt idx="110">
                <c:v>2.75</c:v>
              </c:pt>
              <c:pt idx="111">
                <c:v>2.7750000000000004</c:v>
              </c:pt>
              <c:pt idx="112">
                <c:v>2.8000000000000003</c:v>
              </c:pt>
              <c:pt idx="113">
                <c:v>2.8249999999999997</c:v>
              </c:pt>
              <c:pt idx="114">
                <c:v>2.8499999999999996</c:v>
              </c:pt>
              <c:pt idx="115">
                <c:v>2.875</c:v>
              </c:pt>
              <c:pt idx="116">
                <c:v>2.9</c:v>
              </c:pt>
              <c:pt idx="117">
                <c:v>2.9249999999999998</c:v>
              </c:pt>
              <c:pt idx="118">
                <c:v>2.9499999999999997</c:v>
              </c:pt>
              <c:pt idx="119">
                <c:v>2.9749999999999996</c:v>
              </c:pt>
              <c:pt idx="120">
                <c:v>3</c:v>
              </c:pt>
              <c:pt idx="121">
                <c:v>3.0249999999999999</c:v>
              </c:pt>
              <c:pt idx="122">
                <c:v>3.05</c:v>
              </c:pt>
              <c:pt idx="123">
                <c:v>3.0750000000000002</c:v>
              </c:pt>
              <c:pt idx="124">
                <c:v>3.1</c:v>
              </c:pt>
              <c:pt idx="125">
                <c:v>3.125</c:v>
              </c:pt>
              <c:pt idx="126">
                <c:v>3.15</c:v>
              </c:pt>
              <c:pt idx="127">
                <c:v>3.1749999999999998</c:v>
              </c:pt>
              <c:pt idx="128">
                <c:v>3.2</c:v>
              </c:pt>
              <c:pt idx="129">
                <c:v>3.2250000000000001</c:v>
              </c:pt>
              <c:pt idx="130">
                <c:v>3.25</c:v>
              </c:pt>
              <c:pt idx="131">
                <c:v>3.2750000000000004</c:v>
              </c:pt>
              <c:pt idx="132">
                <c:v>3.3000000000000003</c:v>
              </c:pt>
              <c:pt idx="133">
                <c:v>3.3250000000000002</c:v>
              </c:pt>
              <c:pt idx="134">
                <c:v>3.35</c:v>
              </c:pt>
              <c:pt idx="135">
                <c:v>3.375</c:v>
              </c:pt>
              <c:pt idx="136">
                <c:v>3.4000000000000004</c:v>
              </c:pt>
              <c:pt idx="137">
                <c:v>3.4250000000000003</c:v>
              </c:pt>
              <c:pt idx="138">
                <c:v>3.4499999999999997</c:v>
              </c:pt>
              <c:pt idx="139">
                <c:v>3.4749999999999996</c:v>
              </c:pt>
              <c:pt idx="140">
                <c:v>3.5</c:v>
              </c:pt>
              <c:pt idx="141">
                <c:v>3.5249999999999999</c:v>
              </c:pt>
              <c:pt idx="142">
                <c:v>3.55</c:v>
              </c:pt>
              <c:pt idx="143">
                <c:v>3.5749999999999997</c:v>
              </c:pt>
              <c:pt idx="144">
                <c:v>3.5999999999999996</c:v>
              </c:pt>
              <c:pt idx="145">
                <c:v>3.625</c:v>
              </c:pt>
              <c:pt idx="146">
                <c:v>3.65</c:v>
              </c:pt>
              <c:pt idx="147">
                <c:v>3.6749999999999998</c:v>
              </c:pt>
              <c:pt idx="148">
                <c:v>3.7</c:v>
              </c:pt>
              <c:pt idx="149">
                <c:v>3.7250000000000001</c:v>
              </c:pt>
              <c:pt idx="150">
                <c:v>3.75</c:v>
              </c:pt>
              <c:pt idx="151">
                <c:v>3.7749999999999999</c:v>
              </c:pt>
              <c:pt idx="152">
                <c:v>3.8</c:v>
              </c:pt>
              <c:pt idx="153">
                <c:v>3.8250000000000002</c:v>
              </c:pt>
              <c:pt idx="154">
                <c:v>3.85</c:v>
              </c:pt>
              <c:pt idx="155">
                <c:v>3.875</c:v>
              </c:pt>
              <c:pt idx="156">
                <c:v>3.9000000000000004</c:v>
              </c:pt>
              <c:pt idx="157">
                <c:v>3.9250000000000003</c:v>
              </c:pt>
              <c:pt idx="158">
                <c:v>3.95</c:v>
              </c:pt>
              <c:pt idx="159">
                <c:v>3.9750000000000001</c:v>
              </c:pt>
              <c:pt idx="160">
                <c:v>4</c:v>
              </c:pt>
              <c:pt idx="161">
                <c:v>4.0250000000000004</c:v>
              </c:pt>
              <c:pt idx="162">
                <c:v>4.0500000000000007</c:v>
              </c:pt>
              <c:pt idx="163">
                <c:v>4.0749999999999993</c:v>
              </c:pt>
              <c:pt idx="164">
                <c:v>4.0999999999999996</c:v>
              </c:pt>
              <c:pt idx="165">
                <c:v>4.125</c:v>
              </c:pt>
              <c:pt idx="166">
                <c:v>4.1499999999999995</c:v>
              </c:pt>
              <c:pt idx="167">
                <c:v>4.1749999999999998</c:v>
              </c:pt>
              <c:pt idx="168">
                <c:v>4.2</c:v>
              </c:pt>
              <c:pt idx="169">
                <c:v>4.2249999999999996</c:v>
              </c:pt>
              <c:pt idx="170">
                <c:v>4.25</c:v>
              </c:pt>
              <c:pt idx="171">
                <c:v>4.2750000000000004</c:v>
              </c:pt>
              <c:pt idx="172">
                <c:v>4.3</c:v>
              </c:pt>
              <c:pt idx="173">
                <c:v>4.3250000000000002</c:v>
              </c:pt>
              <c:pt idx="174">
                <c:v>4.3499999999999996</c:v>
              </c:pt>
              <c:pt idx="175">
                <c:v>4.375</c:v>
              </c:pt>
              <c:pt idx="176">
                <c:v>4.4000000000000004</c:v>
              </c:pt>
              <c:pt idx="177">
                <c:v>4.4249999999999998</c:v>
              </c:pt>
              <c:pt idx="178">
                <c:v>4.45</c:v>
              </c:pt>
              <c:pt idx="179">
                <c:v>4.4749999999999996</c:v>
              </c:pt>
              <c:pt idx="180">
                <c:v>4.5</c:v>
              </c:pt>
              <c:pt idx="181">
                <c:v>4.5250000000000004</c:v>
              </c:pt>
              <c:pt idx="182">
                <c:v>4.55</c:v>
              </c:pt>
              <c:pt idx="183">
                <c:v>4.5750000000000002</c:v>
              </c:pt>
              <c:pt idx="184">
                <c:v>4.6000000000000005</c:v>
              </c:pt>
              <c:pt idx="185">
                <c:v>4.625</c:v>
              </c:pt>
              <c:pt idx="186">
                <c:v>4.6500000000000004</c:v>
              </c:pt>
              <c:pt idx="187">
                <c:v>4.6750000000000007</c:v>
              </c:pt>
              <c:pt idx="188">
                <c:v>4.6999999999999993</c:v>
              </c:pt>
              <c:pt idx="189">
                <c:v>4.7249999999999996</c:v>
              </c:pt>
              <c:pt idx="190">
                <c:v>4.75</c:v>
              </c:pt>
              <c:pt idx="191">
                <c:v>4.7749999999999995</c:v>
              </c:pt>
              <c:pt idx="192">
                <c:v>4.8</c:v>
              </c:pt>
              <c:pt idx="193">
                <c:v>4.8250000000000002</c:v>
              </c:pt>
              <c:pt idx="194">
                <c:v>4.8499999999999996</c:v>
              </c:pt>
              <c:pt idx="195">
                <c:v>4.875</c:v>
              </c:pt>
              <c:pt idx="196">
                <c:v>4.9000000000000004</c:v>
              </c:pt>
              <c:pt idx="197">
                <c:v>4.9249999999999998</c:v>
              </c:pt>
              <c:pt idx="198">
                <c:v>4.95</c:v>
              </c:pt>
              <c:pt idx="199">
                <c:v>4.9749999999999996</c:v>
              </c:pt>
              <c:pt idx="200">
                <c:v>5</c:v>
              </c:pt>
            </c:numLit>
          </c:cat>
          <c:val>
            <c:numRef>
              <c:f>'Calculations - Dual'!$BO$5:$BO$105</c:f>
              <c:numCache>
                <c:formatCode>0.0</c:formatCode>
                <c:ptCount val="101"/>
                <c:pt idx="0">
                  <c:v>6.9999999999999997E-7</c:v>
                </c:pt>
                <c:pt idx="1">
                  <c:v>2.1</c:v>
                </c:pt>
                <c:pt idx="2">
                  <c:v>4.2</c:v>
                </c:pt>
                <c:pt idx="3">
                  <c:v>6.2999999999999989</c:v>
                </c:pt>
                <c:pt idx="4">
                  <c:v>8.4</c:v>
                </c:pt>
                <c:pt idx="5">
                  <c:v>10.499999999999998</c:v>
                </c:pt>
                <c:pt idx="6">
                  <c:v>12.599999999999998</c:v>
                </c:pt>
                <c:pt idx="7">
                  <c:v>14.7</c:v>
                </c:pt>
                <c:pt idx="8">
                  <c:v>16.8</c:v>
                </c:pt>
                <c:pt idx="9">
                  <c:v>18.899999999999999</c:v>
                </c:pt>
                <c:pt idx="10">
                  <c:v>20.999999999999996</c:v>
                </c:pt>
                <c:pt idx="11">
                  <c:v>23.099999999999998</c:v>
                </c:pt>
                <c:pt idx="12">
                  <c:v>25.199999999999996</c:v>
                </c:pt>
                <c:pt idx="13">
                  <c:v>27.299999999999997</c:v>
                </c:pt>
                <c:pt idx="14">
                  <c:v>29.4</c:v>
                </c:pt>
                <c:pt idx="15">
                  <c:v>31.5</c:v>
                </c:pt>
                <c:pt idx="16">
                  <c:v>33.6</c:v>
                </c:pt>
                <c:pt idx="17">
                  <c:v>35.700000000000003</c:v>
                </c:pt>
                <c:pt idx="18">
                  <c:v>37.799999999999997</c:v>
                </c:pt>
                <c:pt idx="19">
                  <c:v>39.899999999999991</c:v>
                </c:pt>
                <c:pt idx="20">
                  <c:v>41.999999999999993</c:v>
                </c:pt>
                <c:pt idx="21">
                  <c:v>44.1</c:v>
                </c:pt>
                <c:pt idx="22">
                  <c:v>46.199999999999996</c:v>
                </c:pt>
                <c:pt idx="23">
                  <c:v>48.300000000000004</c:v>
                </c:pt>
                <c:pt idx="24">
                  <c:v>50.399999999999991</c:v>
                </c:pt>
                <c:pt idx="25">
                  <c:v>52.5</c:v>
                </c:pt>
                <c:pt idx="26">
                  <c:v>54.599999999999994</c:v>
                </c:pt>
                <c:pt idx="27">
                  <c:v>56.7</c:v>
                </c:pt>
                <c:pt idx="28">
                  <c:v>58.8</c:v>
                </c:pt>
                <c:pt idx="29">
                  <c:v>60.899999999999991</c:v>
                </c:pt>
                <c:pt idx="30">
                  <c:v>63</c:v>
                </c:pt>
                <c:pt idx="31">
                  <c:v>65.099999999999994</c:v>
                </c:pt>
                <c:pt idx="32">
                  <c:v>67.2</c:v>
                </c:pt>
                <c:pt idx="33">
                  <c:v>69.3</c:v>
                </c:pt>
                <c:pt idx="34">
                  <c:v>71.400000000000006</c:v>
                </c:pt>
                <c:pt idx="35">
                  <c:v>73.5</c:v>
                </c:pt>
                <c:pt idx="36">
                  <c:v>75.599999999999994</c:v>
                </c:pt>
                <c:pt idx="37">
                  <c:v>77.699999999999989</c:v>
                </c:pt>
                <c:pt idx="38">
                  <c:v>79.799999999999983</c:v>
                </c:pt>
                <c:pt idx="39">
                  <c:v>81.899999999999991</c:v>
                </c:pt>
                <c:pt idx="40">
                  <c:v>83.999999999999986</c:v>
                </c:pt>
                <c:pt idx="41">
                  <c:v>86.09999999999998</c:v>
                </c:pt>
                <c:pt idx="42">
                  <c:v>88.2</c:v>
                </c:pt>
                <c:pt idx="43">
                  <c:v>90.3</c:v>
                </c:pt>
                <c:pt idx="44">
                  <c:v>92.399999999999991</c:v>
                </c:pt>
                <c:pt idx="45">
                  <c:v>94.5</c:v>
                </c:pt>
                <c:pt idx="46">
                  <c:v>96.600000000000009</c:v>
                </c:pt>
                <c:pt idx="47">
                  <c:v>98.699999999999989</c:v>
                </c:pt>
                <c:pt idx="48">
                  <c:v>100.79999999999998</c:v>
                </c:pt>
                <c:pt idx="49">
                  <c:v>102.89999999999999</c:v>
                </c:pt>
                <c:pt idx="50">
                  <c:v>105</c:v>
                </c:pt>
                <c:pt idx="51">
                  <c:v>107.09999999999998</c:v>
                </c:pt>
                <c:pt idx="52">
                  <c:v>109.19999999999999</c:v>
                </c:pt>
                <c:pt idx="53">
                  <c:v>111.3</c:v>
                </c:pt>
                <c:pt idx="54">
                  <c:v>113.4</c:v>
                </c:pt>
                <c:pt idx="55">
                  <c:v>115.49999999999999</c:v>
                </c:pt>
                <c:pt idx="56">
                  <c:v>117.6</c:v>
                </c:pt>
                <c:pt idx="57">
                  <c:v>119.69999999999999</c:v>
                </c:pt>
                <c:pt idx="58">
                  <c:v>121.79999999999998</c:v>
                </c:pt>
                <c:pt idx="59">
                  <c:v>123.89999999999998</c:v>
                </c:pt>
                <c:pt idx="60">
                  <c:v>126</c:v>
                </c:pt>
                <c:pt idx="61">
                  <c:v>128.1</c:v>
                </c:pt>
                <c:pt idx="62">
                  <c:v>130.19999999999999</c:v>
                </c:pt>
                <c:pt idx="63">
                  <c:v>132.30000000000001</c:v>
                </c:pt>
                <c:pt idx="64">
                  <c:v>134.4</c:v>
                </c:pt>
                <c:pt idx="65">
                  <c:v>136.49999999999997</c:v>
                </c:pt>
                <c:pt idx="66">
                  <c:v>138.6</c:v>
                </c:pt>
                <c:pt idx="67">
                  <c:v>140.69999999999999</c:v>
                </c:pt>
                <c:pt idx="68">
                  <c:v>142.80000000000001</c:v>
                </c:pt>
                <c:pt idx="69">
                  <c:v>144.89999999999998</c:v>
                </c:pt>
                <c:pt idx="70">
                  <c:v>147</c:v>
                </c:pt>
                <c:pt idx="71">
                  <c:v>149.1</c:v>
                </c:pt>
                <c:pt idx="72">
                  <c:v>151.19999999999999</c:v>
                </c:pt>
                <c:pt idx="73">
                  <c:v>153.29999999999998</c:v>
                </c:pt>
                <c:pt idx="74">
                  <c:v>155.39999999999998</c:v>
                </c:pt>
                <c:pt idx="75">
                  <c:v>157.49999999999997</c:v>
                </c:pt>
                <c:pt idx="76">
                  <c:v>159.59999999999997</c:v>
                </c:pt>
                <c:pt idx="77">
                  <c:v>161.69999999999999</c:v>
                </c:pt>
                <c:pt idx="78">
                  <c:v>163.79999999999998</c:v>
                </c:pt>
                <c:pt idx="79">
                  <c:v>165.9</c:v>
                </c:pt>
                <c:pt idx="80">
                  <c:v>167.99999999999997</c:v>
                </c:pt>
                <c:pt idx="81">
                  <c:v>170.09999999999997</c:v>
                </c:pt>
                <c:pt idx="82">
                  <c:v>172.19999999999996</c:v>
                </c:pt>
                <c:pt idx="83">
                  <c:v>174.29999999999998</c:v>
                </c:pt>
                <c:pt idx="84">
                  <c:v>176.4</c:v>
                </c:pt>
                <c:pt idx="85">
                  <c:v>178.5</c:v>
                </c:pt>
                <c:pt idx="86">
                  <c:v>180.6</c:v>
                </c:pt>
                <c:pt idx="87">
                  <c:v>182.7</c:v>
                </c:pt>
                <c:pt idx="88">
                  <c:v>184.79999999999998</c:v>
                </c:pt>
                <c:pt idx="89">
                  <c:v>186.9</c:v>
                </c:pt>
                <c:pt idx="90">
                  <c:v>189</c:v>
                </c:pt>
                <c:pt idx="91">
                  <c:v>191.1</c:v>
                </c:pt>
                <c:pt idx="92">
                  <c:v>193.20000000000002</c:v>
                </c:pt>
                <c:pt idx="93">
                  <c:v>195.3</c:v>
                </c:pt>
                <c:pt idx="94">
                  <c:v>197.39999999999998</c:v>
                </c:pt>
                <c:pt idx="95">
                  <c:v>199.49999999999997</c:v>
                </c:pt>
                <c:pt idx="96">
                  <c:v>201.59999999999997</c:v>
                </c:pt>
                <c:pt idx="97">
                  <c:v>203.69999999999996</c:v>
                </c:pt>
                <c:pt idx="98">
                  <c:v>205.79999999999998</c:v>
                </c:pt>
                <c:pt idx="99">
                  <c:v>207.89999999999998</c:v>
                </c:pt>
                <c:pt idx="100">
                  <c:v>210</c:v>
                </c:pt>
              </c:numCache>
            </c:numRef>
          </c:val>
          <c:smooth val="0"/>
        </c:ser>
        <c:ser>
          <c:idx val="3"/>
          <c:order val="2"/>
          <c:tx>
            <c:strRef>
              <c:f>'Calculations - Dual'!$BE$3</c:f>
              <c:strCache>
                <c:ptCount val="1"/>
                <c:pt idx="0">
                  <c:v>IC Loss</c:v>
                </c:pt>
              </c:strCache>
            </c:strRef>
          </c:tx>
          <c:spPr>
            <a:ln w="38100">
              <a:solidFill>
                <a:srgbClr val="800080"/>
              </a:solidFill>
              <a:prstDash val="dash"/>
            </a:ln>
          </c:spPr>
          <c:marker>
            <c:symbol val="none"/>
          </c:marker>
          <c:cat>
            <c:numLit>
              <c:formatCode>General</c:formatCode>
              <c:ptCount val="201"/>
              <c:pt idx="0">
                <c:v>0</c:v>
              </c:pt>
              <c:pt idx="1">
                <c:v>2.5000000000000001E-2</c:v>
              </c:pt>
              <c:pt idx="2">
                <c:v>0.05</c:v>
              </c:pt>
              <c:pt idx="3">
                <c:v>7.4999999999999997E-2</c:v>
              </c:pt>
              <c:pt idx="4">
                <c:v>0.1</c:v>
              </c:pt>
              <c:pt idx="5">
                <c:v>0.125</c:v>
              </c:pt>
              <c:pt idx="6">
                <c:v>0.15</c:v>
              </c:pt>
              <c:pt idx="7">
                <c:v>0.17500000000000002</c:v>
              </c:pt>
              <c:pt idx="8">
                <c:v>0.2</c:v>
              </c:pt>
              <c:pt idx="9">
                <c:v>0.22499999999999998</c:v>
              </c:pt>
              <c:pt idx="10">
                <c:v>0.25</c:v>
              </c:pt>
              <c:pt idx="11">
                <c:v>0.27500000000000002</c:v>
              </c:pt>
              <c:pt idx="12">
                <c:v>0.3</c:v>
              </c:pt>
              <c:pt idx="13">
                <c:v>0.32500000000000001</c:v>
              </c:pt>
              <c:pt idx="14">
                <c:v>0.35000000000000003</c:v>
              </c:pt>
              <c:pt idx="15">
                <c:v>0.375</c:v>
              </c:pt>
              <c:pt idx="16">
                <c:v>0.4</c:v>
              </c:pt>
              <c:pt idx="17">
                <c:v>0.42500000000000004</c:v>
              </c:pt>
              <c:pt idx="18">
                <c:v>0.44999999999999996</c:v>
              </c:pt>
              <c:pt idx="19">
                <c:v>0.47499999999999998</c:v>
              </c:pt>
              <c:pt idx="20">
                <c:v>0.5</c:v>
              </c:pt>
              <c:pt idx="21">
                <c:v>0.52500000000000002</c:v>
              </c:pt>
              <c:pt idx="22">
                <c:v>0.55000000000000004</c:v>
              </c:pt>
              <c:pt idx="23">
                <c:v>0.57500000000000007</c:v>
              </c:pt>
              <c:pt idx="24">
                <c:v>0.6</c:v>
              </c:pt>
              <c:pt idx="25">
                <c:v>0.625</c:v>
              </c:pt>
              <c:pt idx="26">
                <c:v>0.65</c:v>
              </c:pt>
              <c:pt idx="27">
                <c:v>0.67500000000000004</c:v>
              </c:pt>
              <c:pt idx="28">
                <c:v>0.70000000000000007</c:v>
              </c:pt>
              <c:pt idx="29">
                <c:v>0.72499999999999998</c:v>
              </c:pt>
              <c:pt idx="30">
                <c:v>0.75</c:v>
              </c:pt>
              <c:pt idx="31">
                <c:v>0.77500000000000002</c:v>
              </c:pt>
              <c:pt idx="32">
                <c:v>0.8</c:v>
              </c:pt>
              <c:pt idx="33">
                <c:v>0.82500000000000007</c:v>
              </c:pt>
              <c:pt idx="34">
                <c:v>0.85000000000000009</c:v>
              </c:pt>
              <c:pt idx="35">
                <c:v>0.875</c:v>
              </c:pt>
              <c:pt idx="36">
                <c:v>0.89999999999999991</c:v>
              </c:pt>
              <c:pt idx="37">
                <c:v>0.92500000000000004</c:v>
              </c:pt>
              <c:pt idx="38">
                <c:v>0.95</c:v>
              </c:pt>
              <c:pt idx="39">
                <c:v>0.97500000000000009</c:v>
              </c:pt>
              <c:pt idx="40">
                <c:v>1</c:v>
              </c:pt>
              <c:pt idx="41">
                <c:v>1.0249999999999999</c:v>
              </c:pt>
              <c:pt idx="42">
                <c:v>1.05</c:v>
              </c:pt>
              <c:pt idx="43">
                <c:v>1.075</c:v>
              </c:pt>
              <c:pt idx="44">
                <c:v>1.1000000000000001</c:v>
              </c:pt>
              <c:pt idx="45">
                <c:v>1.125</c:v>
              </c:pt>
              <c:pt idx="46">
                <c:v>1.1500000000000001</c:v>
              </c:pt>
              <c:pt idx="47">
                <c:v>1.1749999999999998</c:v>
              </c:pt>
              <c:pt idx="48">
                <c:v>1.2</c:v>
              </c:pt>
              <c:pt idx="49">
                <c:v>1.2250000000000001</c:v>
              </c:pt>
              <c:pt idx="50">
                <c:v>1.25</c:v>
              </c:pt>
              <c:pt idx="51">
                <c:v>1.2749999999999999</c:v>
              </c:pt>
              <c:pt idx="52">
                <c:v>1.3</c:v>
              </c:pt>
              <c:pt idx="53">
                <c:v>1.3250000000000002</c:v>
              </c:pt>
              <c:pt idx="54">
                <c:v>1.35</c:v>
              </c:pt>
              <c:pt idx="55">
                <c:v>1.375</c:v>
              </c:pt>
              <c:pt idx="56">
                <c:v>1.4000000000000001</c:v>
              </c:pt>
              <c:pt idx="57">
                <c:v>1.4249999999999998</c:v>
              </c:pt>
              <c:pt idx="58">
                <c:v>1.45</c:v>
              </c:pt>
              <c:pt idx="59">
                <c:v>1.4749999999999999</c:v>
              </c:pt>
              <c:pt idx="60">
                <c:v>1.5</c:v>
              </c:pt>
              <c:pt idx="61">
                <c:v>1.5249999999999999</c:v>
              </c:pt>
              <c:pt idx="62">
                <c:v>1.55</c:v>
              </c:pt>
              <c:pt idx="63">
                <c:v>1.575</c:v>
              </c:pt>
              <c:pt idx="64">
                <c:v>1.6</c:v>
              </c:pt>
              <c:pt idx="65">
                <c:v>1.625</c:v>
              </c:pt>
              <c:pt idx="66">
                <c:v>1.6500000000000001</c:v>
              </c:pt>
              <c:pt idx="67">
                <c:v>1.675</c:v>
              </c:pt>
              <c:pt idx="68">
                <c:v>1.7000000000000002</c:v>
              </c:pt>
              <c:pt idx="69">
                <c:v>1.7249999999999999</c:v>
              </c:pt>
              <c:pt idx="70">
                <c:v>1.75</c:v>
              </c:pt>
              <c:pt idx="71">
                <c:v>1.7749999999999999</c:v>
              </c:pt>
              <c:pt idx="72">
                <c:v>1.7999999999999998</c:v>
              </c:pt>
              <c:pt idx="73">
                <c:v>1.825</c:v>
              </c:pt>
              <c:pt idx="74">
                <c:v>1.85</c:v>
              </c:pt>
              <c:pt idx="75">
                <c:v>1.875</c:v>
              </c:pt>
              <c:pt idx="76">
                <c:v>1.9</c:v>
              </c:pt>
              <c:pt idx="77">
                <c:v>1.925</c:v>
              </c:pt>
              <c:pt idx="78">
                <c:v>1.9500000000000002</c:v>
              </c:pt>
              <c:pt idx="79">
                <c:v>1.9750000000000001</c:v>
              </c:pt>
              <c:pt idx="80">
                <c:v>2</c:v>
              </c:pt>
              <c:pt idx="81">
                <c:v>2.0250000000000004</c:v>
              </c:pt>
              <c:pt idx="82">
                <c:v>2.0499999999999998</c:v>
              </c:pt>
              <c:pt idx="83">
                <c:v>2.0749999999999997</c:v>
              </c:pt>
              <c:pt idx="84">
                <c:v>2.1</c:v>
              </c:pt>
              <c:pt idx="85">
                <c:v>2.125</c:v>
              </c:pt>
              <c:pt idx="86">
                <c:v>2.15</c:v>
              </c:pt>
              <c:pt idx="87">
                <c:v>2.1749999999999998</c:v>
              </c:pt>
              <c:pt idx="88">
                <c:v>2.2000000000000002</c:v>
              </c:pt>
              <c:pt idx="89">
                <c:v>2.2250000000000001</c:v>
              </c:pt>
              <c:pt idx="90">
                <c:v>2.25</c:v>
              </c:pt>
              <c:pt idx="91">
                <c:v>2.2749999999999999</c:v>
              </c:pt>
              <c:pt idx="92">
                <c:v>2.3000000000000003</c:v>
              </c:pt>
              <c:pt idx="93">
                <c:v>2.3250000000000002</c:v>
              </c:pt>
              <c:pt idx="94">
                <c:v>2.3499999999999996</c:v>
              </c:pt>
              <c:pt idx="95">
                <c:v>2.375</c:v>
              </c:pt>
              <c:pt idx="96">
                <c:v>2.4</c:v>
              </c:pt>
              <c:pt idx="97">
                <c:v>2.4249999999999998</c:v>
              </c:pt>
              <c:pt idx="98">
                <c:v>2.4500000000000002</c:v>
              </c:pt>
              <c:pt idx="99">
                <c:v>2.4750000000000001</c:v>
              </c:pt>
              <c:pt idx="100">
                <c:v>2.5</c:v>
              </c:pt>
              <c:pt idx="101">
                <c:v>2.5249999999999999</c:v>
              </c:pt>
              <c:pt idx="102">
                <c:v>2.5499999999999998</c:v>
              </c:pt>
              <c:pt idx="103">
                <c:v>2.5750000000000002</c:v>
              </c:pt>
              <c:pt idx="104">
                <c:v>2.6</c:v>
              </c:pt>
              <c:pt idx="105">
                <c:v>2.625</c:v>
              </c:pt>
              <c:pt idx="106">
                <c:v>2.6500000000000004</c:v>
              </c:pt>
              <c:pt idx="107">
                <c:v>2.6750000000000003</c:v>
              </c:pt>
              <c:pt idx="108">
                <c:v>2.7</c:v>
              </c:pt>
              <c:pt idx="109">
                <c:v>2.7250000000000001</c:v>
              </c:pt>
              <c:pt idx="110">
                <c:v>2.75</c:v>
              </c:pt>
              <c:pt idx="111">
                <c:v>2.7750000000000004</c:v>
              </c:pt>
              <c:pt idx="112">
                <c:v>2.8000000000000003</c:v>
              </c:pt>
              <c:pt idx="113">
                <c:v>2.8249999999999997</c:v>
              </c:pt>
              <c:pt idx="114">
                <c:v>2.8499999999999996</c:v>
              </c:pt>
              <c:pt idx="115">
                <c:v>2.875</c:v>
              </c:pt>
              <c:pt idx="116">
                <c:v>2.9</c:v>
              </c:pt>
              <c:pt idx="117">
                <c:v>2.9249999999999998</c:v>
              </c:pt>
              <c:pt idx="118">
                <c:v>2.9499999999999997</c:v>
              </c:pt>
              <c:pt idx="119">
                <c:v>2.9749999999999996</c:v>
              </c:pt>
              <c:pt idx="120">
                <c:v>3</c:v>
              </c:pt>
              <c:pt idx="121">
                <c:v>3.0249999999999999</c:v>
              </c:pt>
              <c:pt idx="122">
                <c:v>3.05</c:v>
              </c:pt>
              <c:pt idx="123">
                <c:v>3.0750000000000002</c:v>
              </c:pt>
              <c:pt idx="124">
                <c:v>3.1</c:v>
              </c:pt>
              <c:pt idx="125">
                <c:v>3.125</c:v>
              </c:pt>
              <c:pt idx="126">
                <c:v>3.15</c:v>
              </c:pt>
              <c:pt idx="127">
                <c:v>3.1749999999999998</c:v>
              </c:pt>
              <c:pt idx="128">
                <c:v>3.2</c:v>
              </c:pt>
              <c:pt idx="129">
                <c:v>3.2250000000000001</c:v>
              </c:pt>
              <c:pt idx="130">
                <c:v>3.25</c:v>
              </c:pt>
              <c:pt idx="131">
                <c:v>3.2750000000000004</c:v>
              </c:pt>
              <c:pt idx="132">
                <c:v>3.3000000000000003</c:v>
              </c:pt>
              <c:pt idx="133">
                <c:v>3.3250000000000002</c:v>
              </c:pt>
              <c:pt idx="134">
                <c:v>3.35</c:v>
              </c:pt>
              <c:pt idx="135">
                <c:v>3.375</c:v>
              </c:pt>
              <c:pt idx="136">
                <c:v>3.4000000000000004</c:v>
              </c:pt>
              <c:pt idx="137">
                <c:v>3.4250000000000003</c:v>
              </c:pt>
              <c:pt idx="138">
                <c:v>3.4499999999999997</c:v>
              </c:pt>
              <c:pt idx="139">
                <c:v>3.4749999999999996</c:v>
              </c:pt>
              <c:pt idx="140">
                <c:v>3.5</c:v>
              </c:pt>
              <c:pt idx="141">
                <c:v>3.5249999999999999</c:v>
              </c:pt>
              <c:pt idx="142">
                <c:v>3.55</c:v>
              </c:pt>
              <c:pt idx="143">
                <c:v>3.5749999999999997</c:v>
              </c:pt>
              <c:pt idx="144">
                <c:v>3.5999999999999996</c:v>
              </c:pt>
              <c:pt idx="145">
                <c:v>3.625</c:v>
              </c:pt>
              <c:pt idx="146">
                <c:v>3.65</c:v>
              </c:pt>
              <c:pt idx="147">
                <c:v>3.6749999999999998</c:v>
              </c:pt>
              <c:pt idx="148">
                <c:v>3.7</c:v>
              </c:pt>
              <c:pt idx="149">
                <c:v>3.7250000000000001</c:v>
              </c:pt>
              <c:pt idx="150">
                <c:v>3.75</c:v>
              </c:pt>
              <c:pt idx="151">
                <c:v>3.7749999999999999</c:v>
              </c:pt>
              <c:pt idx="152">
                <c:v>3.8</c:v>
              </c:pt>
              <c:pt idx="153">
                <c:v>3.8250000000000002</c:v>
              </c:pt>
              <c:pt idx="154">
                <c:v>3.85</c:v>
              </c:pt>
              <c:pt idx="155">
                <c:v>3.875</c:v>
              </c:pt>
              <c:pt idx="156">
                <c:v>3.9000000000000004</c:v>
              </c:pt>
              <c:pt idx="157">
                <c:v>3.9250000000000003</c:v>
              </c:pt>
              <c:pt idx="158">
                <c:v>3.95</c:v>
              </c:pt>
              <c:pt idx="159">
                <c:v>3.9750000000000001</c:v>
              </c:pt>
              <c:pt idx="160">
                <c:v>4</c:v>
              </c:pt>
              <c:pt idx="161">
                <c:v>4.0250000000000004</c:v>
              </c:pt>
              <c:pt idx="162">
                <c:v>4.0500000000000007</c:v>
              </c:pt>
              <c:pt idx="163">
                <c:v>4.0749999999999993</c:v>
              </c:pt>
              <c:pt idx="164">
                <c:v>4.0999999999999996</c:v>
              </c:pt>
              <c:pt idx="165">
                <c:v>4.125</c:v>
              </c:pt>
              <c:pt idx="166">
                <c:v>4.1499999999999995</c:v>
              </c:pt>
              <c:pt idx="167">
                <c:v>4.1749999999999998</c:v>
              </c:pt>
              <c:pt idx="168">
                <c:v>4.2</c:v>
              </c:pt>
              <c:pt idx="169">
                <c:v>4.2249999999999996</c:v>
              </c:pt>
              <c:pt idx="170">
                <c:v>4.25</c:v>
              </c:pt>
              <c:pt idx="171">
                <c:v>4.2750000000000004</c:v>
              </c:pt>
              <c:pt idx="172">
                <c:v>4.3</c:v>
              </c:pt>
              <c:pt idx="173">
                <c:v>4.3250000000000002</c:v>
              </c:pt>
              <c:pt idx="174">
                <c:v>4.3499999999999996</c:v>
              </c:pt>
              <c:pt idx="175">
                <c:v>4.375</c:v>
              </c:pt>
              <c:pt idx="176">
                <c:v>4.4000000000000004</c:v>
              </c:pt>
              <c:pt idx="177">
                <c:v>4.4249999999999998</c:v>
              </c:pt>
              <c:pt idx="178">
                <c:v>4.45</c:v>
              </c:pt>
              <c:pt idx="179">
                <c:v>4.4749999999999996</c:v>
              </c:pt>
              <c:pt idx="180">
                <c:v>4.5</c:v>
              </c:pt>
              <c:pt idx="181">
                <c:v>4.5250000000000004</c:v>
              </c:pt>
              <c:pt idx="182">
                <c:v>4.55</c:v>
              </c:pt>
              <c:pt idx="183">
                <c:v>4.5750000000000002</c:v>
              </c:pt>
              <c:pt idx="184">
                <c:v>4.6000000000000005</c:v>
              </c:pt>
              <c:pt idx="185">
                <c:v>4.625</c:v>
              </c:pt>
              <c:pt idx="186">
                <c:v>4.6500000000000004</c:v>
              </c:pt>
              <c:pt idx="187">
                <c:v>4.6750000000000007</c:v>
              </c:pt>
              <c:pt idx="188">
                <c:v>4.6999999999999993</c:v>
              </c:pt>
              <c:pt idx="189">
                <c:v>4.7249999999999996</c:v>
              </c:pt>
              <c:pt idx="190">
                <c:v>4.75</c:v>
              </c:pt>
              <c:pt idx="191">
                <c:v>4.7749999999999995</c:v>
              </c:pt>
              <c:pt idx="192">
                <c:v>4.8</c:v>
              </c:pt>
              <c:pt idx="193">
                <c:v>4.8250000000000002</c:v>
              </c:pt>
              <c:pt idx="194">
                <c:v>4.8499999999999996</c:v>
              </c:pt>
              <c:pt idx="195">
                <c:v>4.875</c:v>
              </c:pt>
              <c:pt idx="196">
                <c:v>4.9000000000000004</c:v>
              </c:pt>
              <c:pt idx="197">
                <c:v>4.9249999999999998</c:v>
              </c:pt>
              <c:pt idx="198">
                <c:v>4.95</c:v>
              </c:pt>
              <c:pt idx="199">
                <c:v>4.9749999999999996</c:v>
              </c:pt>
              <c:pt idx="200">
                <c:v>5</c:v>
              </c:pt>
            </c:numLit>
          </c:cat>
          <c:val>
            <c:numRef>
              <c:f>'Calculations - Dual'!$BJ$5:$BJ$105</c:f>
              <c:numCache>
                <c:formatCode>0.0</c:formatCode>
                <c:ptCount val="101"/>
                <c:pt idx="0">
                  <c:v>4.9170695486111109</c:v>
                </c:pt>
                <c:pt idx="1">
                  <c:v>7.3887949969654185</c:v>
                </c:pt>
                <c:pt idx="2">
                  <c:v>11.297589993930837</c:v>
                </c:pt>
                <c:pt idx="3">
                  <c:v>15.206384990896252</c:v>
                </c:pt>
                <c:pt idx="4">
                  <c:v>19.115179987861673</c:v>
                </c:pt>
                <c:pt idx="5">
                  <c:v>23.023974984827088</c:v>
                </c:pt>
                <c:pt idx="6">
                  <c:v>26.932769981792504</c:v>
                </c:pt>
                <c:pt idx="7">
                  <c:v>30.841564978757926</c:v>
                </c:pt>
                <c:pt idx="8">
                  <c:v>34.750359975723342</c:v>
                </c:pt>
                <c:pt idx="9">
                  <c:v>39.376453172253299</c:v>
                </c:pt>
                <c:pt idx="10">
                  <c:v>45.037659268207186</c:v>
                </c:pt>
                <c:pt idx="11">
                  <c:v>50.996236107588317</c:v>
                </c:pt>
                <c:pt idx="12">
                  <c:v>57.250033383741481</c:v>
                </c:pt>
                <c:pt idx="13">
                  <c:v>63.184105463737232</c:v>
                </c:pt>
                <c:pt idx="14">
                  <c:v>65.207008951195149</c:v>
                </c:pt>
                <c:pt idx="15">
                  <c:v>67.211357463692721</c:v>
                </c:pt>
                <c:pt idx="16">
                  <c:v>69.200702790966375</c:v>
                </c:pt>
                <c:pt idx="17">
                  <c:v>71.177996104970134</c:v>
                </c:pt>
                <c:pt idx="18">
                  <c:v>73.145714726502405</c:v>
                </c:pt>
                <c:pt idx="19">
                  <c:v>75.105956920925323</c:v>
                </c:pt>
                <c:pt idx="20">
                  <c:v>77.060513997987499</c:v>
                </c:pt>
                <c:pt idx="21">
                  <c:v>79.010925979254125</c:v>
                </c:pt>
                <c:pt idx="22">
                  <c:v>77.46832880270226</c:v>
                </c:pt>
                <c:pt idx="23">
                  <c:v>76.028935803923915</c:v>
                </c:pt>
                <c:pt idx="24">
                  <c:v>74.708931730685322</c:v>
                </c:pt>
                <c:pt idx="25">
                  <c:v>73.494737975550734</c:v>
                </c:pt>
                <c:pt idx="26">
                  <c:v>72.374780054163793</c:v>
                </c:pt>
                <c:pt idx="27">
                  <c:v>71.339128131691083</c:v>
                </c:pt>
                <c:pt idx="28">
                  <c:v>70.379212654086075</c:v>
                </c:pt>
                <c:pt idx="29">
                  <c:v>69.487597325710567</c:v>
                </c:pt>
                <c:pt idx="30">
                  <c:v>68.657796329610775</c:v>
                </c:pt>
                <c:pt idx="31">
                  <c:v>67.884126009750432</c:v>
                </c:pt>
                <c:pt idx="32">
                  <c:v>67.161583636710716</c:v>
                </c:pt>
                <c:pt idx="33">
                  <c:v>66.485747635240017</c:v>
                </c:pt>
                <c:pt idx="34">
                  <c:v>65.852694950924587</c:v>
                </c:pt>
                <c:pt idx="35">
                  <c:v>65.258932203280196</c:v>
                </c:pt>
                <c:pt idx="36">
                  <c:v>104.61650640586352</c:v>
                </c:pt>
                <c:pt idx="37">
                  <c:v>106.79651376166356</c:v>
                </c:pt>
                <c:pt idx="38">
                  <c:v>109.06063292526932</c:v>
                </c:pt>
                <c:pt idx="39">
                  <c:v>111.40763025339714</c:v>
                </c:pt>
                <c:pt idx="40">
                  <c:v>113.83639546709189</c:v>
                </c:pt>
                <c:pt idx="41">
                  <c:v>116.34592660729636</c:v>
                </c:pt>
                <c:pt idx="42">
                  <c:v>118.93531713962557</c:v>
                </c:pt>
                <c:pt idx="43">
                  <c:v>121.60374485847439</c:v>
                </c:pt>
                <c:pt idx="44">
                  <c:v>124.35046230420193</c:v>
                </c:pt>
                <c:pt idx="45">
                  <c:v>127.17478845802415</c:v>
                </c:pt>
                <c:pt idx="46">
                  <c:v>130.07610152018182</c:v>
                </c:pt>
                <c:pt idx="47">
                  <c:v>133.05383261004408</c:v>
                </c:pt>
                <c:pt idx="48">
                  <c:v>136.10746025369937</c:v>
                </c:pt>
                <c:pt idx="49">
                  <c:v>139.23650554653503</c:v>
                </c:pt>
                <c:pt idx="50">
                  <c:v>142.44052789630729</c:v>
                </c:pt>
                <c:pt idx="51">
                  <c:v>145.71912126702691</c:v>
                </c:pt>
                <c:pt idx="52">
                  <c:v>149.07191085624231</c:v>
                </c:pt>
                <c:pt idx="53">
                  <c:v>152.4985501484793</c:v>
                </c:pt>
                <c:pt idx="54">
                  <c:v>155.99871829607656</c:v>
                </c:pt>
                <c:pt idx="55">
                  <c:v>159.57211778574839</c:v>
                </c:pt>
                <c:pt idx="56">
                  <c:v>163.21847235515773</c:v>
                </c:pt>
                <c:pt idx="57">
                  <c:v>166.93752512879831</c:v>
                </c:pt>
                <c:pt idx="58">
                  <c:v>170.72903694671618</c:v>
                </c:pt>
                <c:pt idx="59">
                  <c:v>174.59278486319141</c:v>
                </c:pt>
                <c:pt idx="60">
                  <c:v>178.5285607955521</c:v>
                </c:pt>
                <c:pt idx="61">
                  <c:v>182.5361703058916</c:v>
                </c:pt>
                <c:pt idx="62">
                  <c:v>186.61543150068451</c:v>
                </c:pt>
                <c:pt idx="63">
                  <c:v>190.76617403520066</c:v>
                </c:pt>
                <c:pt idx="64">
                  <c:v>192.25865908680191</c:v>
                </c:pt>
                <c:pt idx="65">
                  <c:v>190.98471771360079</c:v>
                </c:pt>
                <c:pt idx="66">
                  <c:v>189.72849917970768</c:v>
                </c:pt>
                <c:pt idx="67">
                  <c:v>188.48963620454592</c:v>
                </c:pt>
                <c:pt idx="68">
                  <c:v>187.26777158640354</c:v>
                </c:pt>
                <c:pt idx="69">
                  <c:v>186.06255785906117</c:v>
                </c:pt>
                <c:pt idx="70">
                  <c:v>184.87365696236097</c:v>
                </c:pt>
                <c:pt idx="71">
                  <c:v>183.70073992606459</c:v>
                </c:pt>
                <c:pt idx="72">
                  <c:v>182.54348656637484</c:v>
                </c:pt>
                <c:pt idx="73">
                  <c:v>181.4015851945361</c:v>
                </c:pt>
                <c:pt idx="74">
                  <c:v>180.27473233695545</c:v>
                </c:pt>
                <c:pt idx="75">
                  <c:v>179.16263246631624</c:v>
                </c:pt>
                <c:pt idx="76">
                  <c:v>178.06499774318328</c:v>
                </c:pt>
                <c:pt idx="77">
                  <c:v>176.98154776762709</c:v>
                </c:pt>
                <c:pt idx="78">
                  <c:v>175.91200934041444</c:v>
                </c:pt>
                <c:pt idx="79">
                  <c:v>174.85611623334006</c:v>
                </c:pt>
                <c:pt idx="80">
                  <c:v>173.81360896829193</c:v>
                </c:pt>
                <c:pt idx="81">
                  <c:v>172.78423460466766</c:v>
                </c:pt>
                <c:pt idx="82">
                  <c:v>171.76774653477352</c:v>
                </c:pt>
                <c:pt idx="83">
                  <c:v>170.76390428685966</c:v>
                </c:pt>
                <c:pt idx="84">
                  <c:v>169.77247333546168</c:v>
                </c:pt>
                <c:pt idx="85">
                  <c:v>168.79322491873307</c:v>
                </c:pt>
                <c:pt idx="86">
                  <c:v>167.82593586247043</c:v>
                </c:pt>
                <c:pt idx="87">
                  <c:v>166.87038841054738</c:v>
                </c:pt>
                <c:pt idx="88">
                  <c:v>165.9263700614853</c:v>
                </c:pt>
                <c:pt idx="89">
                  <c:v>164.99367341090516</c:v>
                </c:pt>
                <c:pt idx="90">
                  <c:v>164.07209599961328</c:v>
                </c:pt>
                <c:pt idx="91">
                  <c:v>163.16144016708824</c:v>
                </c:pt>
                <c:pt idx="92">
                  <c:v>162.26151291014648</c:v>
                </c:pt>
                <c:pt idx="93">
                  <c:v>161.37212574657318</c:v>
                </c:pt>
                <c:pt idx="94">
                  <c:v>160.49309458351721</c:v>
                </c:pt>
                <c:pt idx="95">
                  <c:v>159.62423959045699</c:v>
                </c:pt>
                <c:pt idx="96">
                  <c:v>158.76538507655218</c:v>
                </c:pt>
                <c:pt idx="97">
                  <c:v>157.9163593722065</c:v>
                </c:pt>
                <c:pt idx="98">
                  <c:v>157.07699471467359</c:v>
                </c:pt>
                <c:pt idx="99">
                  <c:v>156.24712713754579</c:v>
                </c:pt>
                <c:pt idx="100">
                  <c:v>155.42659636397309</c:v>
                </c:pt>
              </c:numCache>
            </c:numRef>
          </c:val>
          <c:smooth val="0"/>
        </c:ser>
        <c:ser>
          <c:idx val="1"/>
          <c:order val="3"/>
          <c:tx>
            <c:strRef>
              <c:f>'Calculations - Dual'!$BP$3</c:f>
              <c:strCache>
                <c:ptCount val="1"/>
                <c:pt idx="0">
                  <c:v>Transformer Loss</c:v>
                </c:pt>
              </c:strCache>
            </c:strRef>
          </c:tx>
          <c:spPr>
            <a:ln w="38100">
              <a:solidFill>
                <a:srgbClr val="002060"/>
              </a:solidFill>
              <a:prstDash val="sysDot"/>
            </a:ln>
          </c:spPr>
          <c:marker>
            <c:symbol val="none"/>
          </c:marker>
          <c:cat>
            <c:numLit>
              <c:formatCode>General</c:formatCode>
              <c:ptCount val="201"/>
              <c:pt idx="0">
                <c:v>0</c:v>
              </c:pt>
              <c:pt idx="1">
                <c:v>2.5000000000000001E-2</c:v>
              </c:pt>
              <c:pt idx="2">
                <c:v>0.05</c:v>
              </c:pt>
              <c:pt idx="3">
                <c:v>7.4999999999999997E-2</c:v>
              </c:pt>
              <c:pt idx="4">
                <c:v>0.1</c:v>
              </c:pt>
              <c:pt idx="5">
                <c:v>0.125</c:v>
              </c:pt>
              <c:pt idx="6">
                <c:v>0.15</c:v>
              </c:pt>
              <c:pt idx="7">
                <c:v>0.17500000000000002</c:v>
              </c:pt>
              <c:pt idx="8">
                <c:v>0.2</c:v>
              </c:pt>
              <c:pt idx="9">
                <c:v>0.22499999999999998</c:v>
              </c:pt>
              <c:pt idx="10">
                <c:v>0.25</c:v>
              </c:pt>
              <c:pt idx="11">
                <c:v>0.27500000000000002</c:v>
              </c:pt>
              <c:pt idx="12">
                <c:v>0.3</c:v>
              </c:pt>
              <c:pt idx="13">
                <c:v>0.32500000000000001</c:v>
              </c:pt>
              <c:pt idx="14">
                <c:v>0.35000000000000003</c:v>
              </c:pt>
              <c:pt idx="15">
                <c:v>0.375</c:v>
              </c:pt>
              <c:pt idx="16">
                <c:v>0.4</c:v>
              </c:pt>
              <c:pt idx="17">
                <c:v>0.42500000000000004</c:v>
              </c:pt>
              <c:pt idx="18">
                <c:v>0.44999999999999996</c:v>
              </c:pt>
              <c:pt idx="19">
                <c:v>0.47499999999999998</c:v>
              </c:pt>
              <c:pt idx="20">
                <c:v>0.5</c:v>
              </c:pt>
              <c:pt idx="21">
                <c:v>0.52500000000000002</c:v>
              </c:pt>
              <c:pt idx="22">
                <c:v>0.55000000000000004</c:v>
              </c:pt>
              <c:pt idx="23">
                <c:v>0.57500000000000007</c:v>
              </c:pt>
              <c:pt idx="24">
                <c:v>0.6</c:v>
              </c:pt>
              <c:pt idx="25">
                <c:v>0.625</c:v>
              </c:pt>
              <c:pt idx="26">
                <c:v>0.65</c:v>
              </c:pt>
              <c:pt idx="27">
                <c:v>0.67500000000000004</c:v>
              </c:pt>
              <c:pt idx="28">
                <c:v>0.70000000000000007</c:v>
              </c:pt>
              <c:pt idx="29">
                <c:v>0.72499999999999998</c:v>
              </c:pt>
              <c:pt idx="30">
                <c:v>0.75</c:v>
              </c:pt>
              <c:pt idx="31">
                <c:v>0.77500000000000002</c:v>
              </c:pt>
              <c:pt idx="32">
                <c:v>0.8</c:v>
              </c:pt>
              <c:pt idx="33">
                <c:v>0.82500000000000007</c:v>
              </c:pt>
              <c:pt idx="34">
                <c:v>0.85000000000000009</c:v>
              </c:pt>
              <c:pt idx="35">
                <c:v>0.875</c:v>
              </c:pt>
              <c:pt idx="36">
                <c:v>0.89999999999999991</c:v>
              </c:pt>
              <c:pt idx="37">
                <c:v>0.92500000000000004</c:v>
              </c:pt>
              <c:pt idx="38">
                <c:v>0.95</c:v>
              </c:pt>
              <c:pt idx="39">
                <c:v>0.97500000000000009</c:v>
              </c:pt>
              <c:pt idx="40">
                <c:v>1</c:v>
              </c:pt>
              <c:pt idx="41">
                <c:v>1.0249999999999999</c:v>
              </c:pt>
              <c:pt idx="42">
                <c:v>1.05</c:v>
              </c:pt>
              <c:pt idx="43">
                <c:v>1.075</c:v>
              </c:pt>
              <c:pt idx="44">
                <c:v>1.1000000000000001</c:v>
              </c:pt>
              <c:pt idx="45">
                <c:v>1.125</c:v>
              </c:pt>
              <c:pt idx="46">
                <c:v>1.1500000000000001</c:v>
              </c:pt>
              <c:pt idx="47">
                <c:v>1.1749999999999998</c:v>
              </c:pt>
              <c:pt idx="48">
                <c:v>1.2</c:v>
              </c:pt>
              <c:pt idx="49">
                <c:v>1.2250000000000001</c:v>
              </c:pt>
              <c:pt idx="50">
                <c:v>1.25</c:v>
              </c:pt>
              <c:pt idx="51">
                <c:v>1.2749999999999999</c:v>
              </c:pt>
              <c:pt idx="52">
                <c:v>1.3</c:v>
              </c:pt>
              <c:pt idx="53">
                <c:v>1.3250000000000002</c:v>
              </c:pt>
              <c:pt idx="54">
                <c:v>1.35</c:v>
              </c:pt>
              <c:pt idx="55">
                <c:v>1.375</c:v>
              </c:pt>
              <c:pt idx="56">
                <c:v>1.4000000000000001</c:v>
              </c:pt>
              <c:pt idx="57">
                <c:v>1.4249999999999998</c:v>
              </c:pt>
              <c:pt idx="58">
                <c:v>1.45</c:v>
              </c:pt>
              <c:pt idx="59">
                <c:v>1.4749999999999999</c:v>
              </c:pt>
              <c:pt idx="60">
                <c:v>1.5</c:v>
              </c:pt>
              <c:pt idx="61">
                <c:v>1.5249999999999999</c:v>
              </c:pt>
              <c:pt idx="62">
                <c:v>1.55</c:v>
              </c:pt>
              <c:pt idx="63">
                <c:v>1.575</c:v>
              </c:pt>
              <c:pt idx="64">
                <c:v>1.6</c:v>
              </c:pt>
              <c:pt idx="65">
                <c:v>1.625</c:v>
              </c:pt>
              <c:pt idx="66">
                <c:v>1.6500000000000001</c:v>
              </c:pt>
              <c:pt idx="67">
                <c:v>1.675</c:v>
              </c:pt>
              <c:pt idx="68">
                <c:v>1.7000000000000002</c:v>
              </c:pt>
              <c:pt idx="69">
                <c:v>1.7249999999999999</c:v>
              </c:pt>
              <c:pt idx="70">
                <c:v>1.75</c:v>
              </c:pt>
              <c:pt idx="71">
                <c:v>1.7749999999999999</c:v>
              </c:pt>
              <c:pt idx="72">
                <c:v>1.7999999999999998</c:v>
              </c:pt>
              <c:pt idx="73">
                <c:v>1.825</c:v>
              </c:pt>
              <c:pt idx="74">
                <c:v>1.85</c:v>
              </c:pt>
              <c:pt idx="75">
                <c:v>1.875</c:v>
              </c:pt>
              <c:pt idx="76">
                <c:v>1.9</c:v>
              </c:pt>
              <c:pt idx="77">
                <c:v>1.925</c:v>
              </c:pt>
              <c:pt idx="78">
                <c:v>1.9500000000000002</c:v>
              </c:pt>
              <c:pt idx="79">
                <c:v>1.9750000000000001</c:v>
              </c:pt>
              <c:pt idx="80">
                <c:v>2</c:v>
              </c:pt>
              <c:pt idx="81">
                <c:v>2.0250000000000004</c:v>
              </c:pt>
              <c:pt idx="82">
                <c:v>2.0499999999999998</c:v>
              </c:pt>
              <c:pt idx="83">
                <c:v>2.0749999999999997</c:v>
              </c:pt>
              <c:pt idx="84">
                <c:v>2.1</c:v>
              </c:pt>
              <c:pt idx="85">
                <c:v>2.125</c:v>
              </c:pt>
              <c:pt idx="86">
                <c:v>2.15</c:v>
              </c:pt>
              <c:pt idx="87">
                <c:v>2.1749999999999998</c:v>
              </c:pt>
              <c:pt idx="88">
                <c:v>2.2000000000000002</c:v>
              </c:pt>
              <c:pt idx="89">
                <c:v>2.2250000000000001</c:v>
              </c:pt>
              <c:pt idx="90">
                <c:v>2.25</c:v>
              </c:pt>
              <c:pt idx="91">
                <c:v>2.2749999999999999</c:v>
              </c:pt>
              <c:pt idx="92">
                <c:v>2.3000000000000003</c:v>
              </c:pt>
              <c:pt idx="93">
                <c:v>2.3250000000000002</c:v>
              </c:pt>
              <c:pt idx="94">
                <c:v>2.3499999999999996</c:v>
              </c:pt>
              <c:pt idx="95">
                <c:v>2.375</c:v>
              </c:pt>
              <c:pt idx="96">
                <c:v>2.4</c:v>
              </c:pt>
              <c:pt idx="97">
                <c:v>2.4249999999999998</c:v>
              </c:pt>
              <c:pt idx="98">
                <c:v>2.4500000000000002</c:v>
              </c:pt>
              <c:pt idx="99">
                <c:v>2.4750000000000001</c:v>
              </c:pt>
              <c:pt idx="100">
                <c:v>2.5</c:v>
              </c:pt>
              <c:pt idx="101">
                <c:v>2.5249999999999999</c:v>
              </c:pt>
              <c:pt idx="102">
                <c:v>2.5499999999999998</c:v>
              </c:pt>
              <c:pt idx="103">
                <c:v>2.5750000000000002</c:v>
              </c:pt>
              <c:pt idx="104">
                <c:v>2.6</c:v>
              </c:pt>
              <c:pt idx="105">
                <c:v>2.625</c:v>
              </c:pt>
              <c:pt idx="106">
                <c:v>2.6500000000000004</c:v>
              </c:pt>
              <c:pt idx="107">
                <c:v>2.6750000000000003</c:v>
              </c:pt>
              <c:pt idx="108">
                <c:v>2.7</c:v>
              </c:pt>
              <c:pt idx="109">
                <c:v>2.7250000000000001</c:v>
              </c:pt>
              <c:pt idx="110">
                <c:v>2.75</c:v>
              </c:pt>
              <c:pt idx="111">
                <c:v>2.7750000000000004</c:v>
              </c:pt>
              <c:pt idx="112">
                <c:v>2.8000000000000003</c:v>
              </c:pt>
              <c:pt idx="113">
                <c:v>2.8249999999999997</c:v>
              </c:pt>
              <c:pt idx="114">
                <c:v>2.8499999999999996</c:v>
              </c:pt>
              <c:pt idx="115">
                <c:v>2.875</c:v>
              </c:pt>
              <c:pt idx="116">
                <c:v>2.9</c:v>
              </c:pt>
              <c:pt idx="117">
                <c:v>2.9249999999999998</c:v>
              </c:pt>
              <c:pt idx="118">
                <c:v>2.9499999999999997</c:v>
              </c:pt>
              <c:pt idx="119">
                <c:v>2.9749999999999996</c:v>
              </c:pt>
              <c:pt idx="120">
                <c:v>3</c:v>
              </c:pt>
              <c:pt idx="121">
                <c:v>3.0249999999999999</c:v>
              </c:pt>
              <c:pt idx="122">
                <c:v>3.05</c:v>
              </c:pt>
              <c:pt idx="123">
                <c:v>3.0750000000000002</c:v>
              </c:pt>
              <c:pt idx="124">
                <c:v>3.1</c:v>
              </c:pt>
              <c:pt idx="125">
                <c:v>3.125</c:v>
              </c:pt>
              <c:pt idx="126">
                <c:v>3.15</c:v>
              </c:pt>
              <c:pt idx="127">
                <c:v>3.1749999999999998</c:v>
              </c:pt>
              <c:pt idx="128">
                <c:v>3.2</c:v>
              </c:pt>
              <c:pt idx="129">
                <c:v>3.2250000000000001</c:v>
              </c:pt>
              <c:pt idx="130">
                <c:v>3.25</c:v>
              </c:pt>
              <c:pt idx="131">
                <c:v>3.2750000000000004</c:v>
              </c:pt>
              <c:pt idx="132">
                <c:v>3.3000000000000003</c:v>
              </c:pt>
              <c:pt idx="133">
                <c:v>3.3250000000000002</c:v>
              </c:pt>
              <c:pt idx="134">
                <c:v>3.35</c:v>
              </c:pt>
              <c:pt idx="135">
                <c:v>3.375</c:v>
              </c:pt>
              <c:pt idx="136">
                <c:v>3.4000000000000004</c:v>
              </c:pt>
              <c:pt idx="137">
                <c:v>3.4250000000000003</c:v>
              </c:pt>
              <c:pt idx="138">
                <c:v>3.4499999999999997</c:v>
              </c:pt>
              <c:pt idx="139">
                <c:v>3.4749999999999996</c:v>
              </c:pt>
              <c:pt idx="140">
                <c:v>3.5</c:v>
              </c:pt>
              <c:pt idx="141">
                <c:v>3.5249999999999999</c:v>
              </c:pt>
              <c:pt idx="142">
                <c:v>3.55</c:v>
              </c:pt>
              <c:pt idx="143">
                <c:v>3.5749999999999997</c:v>
              </c:pt>
              <c:pt idx="144">
                <c:v>3.5999999999999996</c:v>
              </c:pt>
              <c:pt idx="145">
                <c:v>3.625</c:v>
              </c:pt>
              <c:pt idx="146">
                <c:v>3.65</c:v>
              </c:pt>
              <c:pt idx="147">
                <c:v>3.6749999999999998</c:v>
              </c:pt>
              <c:pt idx="148">
                <c:v>3.7</c:v>
              </c:pt>
              <c:pt idx="149">
                <c:v>3.7250000000000001</c:v>
              </c:pt>
              <c:pt idx="150">
                <c:v>3.75</c:v>
              </c:pt>
              <c:pt idx="151">
                <c:v>3.7749999999999999</c:v>
              </c:pt>
              <c:pt idx="152">
                <c:v>3.8</c:v>
              </c:pt>
              <c:pt idx="153">
                <c:v>3.8250000000000002</c:v>
              </c:pt>
              <c:pt idx="154">
                <c:v>3.85</c:v>
              </c:pt>
              <c:pt idx="155">
                <c:v>3.875</c:v>
              </c:pt>
              <c:pt idx="156">
                <c:v>3.9000000000000004</c:v>
              </c:pt>
              <c:pt idx="157">
                <c:v>3.9250000000000003</c:v>
              </c:pt>
              <c:pt idx="158">
                <c:v>3.95</c:v>
              </c:pt>
              <c:pt idx="159">
                <c:v>3.9750000000000001</c:v>
              </c:pt>
              <c:pt idx="160">
                <c:v>4</c:v>
              </c:pt>
              <c:pt idx="161">
                <c:v>4.0250000000000004</c:v>
              </c:pt>
              <c:pt idx="162">
                <c:v>4.0500000000000007</c:v>
              </c:pt>
              <c:pt idx="163">
                <c:v>4.0749999999999993</c:v>
              </c:pt>
              <c:pt idx="164">
                <c:v>4.0999999999999996</c:v>
              </c:pt>
              <c:pt idx="165">
                <c:v>4.125</c:v>
              </c:pt>
              <c:pt idx="166">
                <c:v>4.1499999999999995</c:v>
              </c:pt>
              <c:pt idx="167">
                <c:v>4.1749999999999998</c:v>
              </c:pt>
              <c:pt idx="168">
                <c:v>4.2</c:v>
              </c:pt>
              <c:pt idx="169">
                <c:v>4.2249999999999996</c:v>
              </c:pt>
              <c:pt idx="170">
                <c:v>4.25</c:v>
              </c:pt>
              <c:pt idx="171">
                <c:v>4.2750000000000004</c:v>
              </c:pt>
              <c:pt idx="172">
                <c:v>4.3</c:v>
              </c:pt>
              <c:pt idx="173">
                <c:v>4.3250000000000002</c:v>
              </c:pt>
              <c:pt idx="174">
                <c:v>4.3499999999999996</c:v>
              </c:pt>
              <c:pt idx="175">
                <c:v>4.375</c:v>
              </c:pt>
              <c:pt idx="176">
                <c:v>4.4000000000000004</c:v>
              </c:pt>
              <c:pt idx="177">
                <c:v>4.4249999999999998</c:v>
              </c:pt>
              <c:pt idx="178">
                <c:v>4.45</c:v>
              </c:pt>
              <c:pt idx="179">
                <c:v>4.4749999999999996</c:v>
              </c:pt>
              <c:pt idx="180">
                <c:v>4.5</c:v>
              </c:pt>
              <c:pt idx="181">
                <c:v>4.5250000000000004</c:v>
              </c:pt>
              <c:pt idx="182">
                <c:v>4.55</c:v>
              </c:pt>
              <c:pt idx="183">
                <c:v>4.5750000000000002</c:v>
              </c:pt>
              <c:pt idx="184">
                <c:v>4.6000000000000005</c:v>
              </c:pt>
              <c:pt idx="185">
                <c:v>4.625</c:v>
              </c:pt>
              <c:pt idx="186">
                <c:v>4.6500000000000004</c:v>
              </c:pt>
              <c:pt idx="187">
                <c:v>4.6750000000000007</c:v>
              </c:pt>
              <c:pt idx="188">
                <c:v>4.6999999999999993</c:v>
              </c:pt>
              <c:pt idx="189">
                <c:v>4.7249999999999996</c:v>
              </c:pt>
              <c:pt idx="190">
                <c:v>4.75</c:v>
              </c:pt>
              <c:pt idx="191">
                <c:v>4.7749999999999995</c:v>
              </c:pt>
              <c:pt idx="192">
                <c:v>4.8</c:v>
              </c:pt>
              <c:pt idx="193">
                <c:v>4.8250000000000002</c:v>
              </c:pt>
              <c:pt idx="194">
                <c:v>4.8499999999999996</c:v>
              </c:pt>
              <c:pt idx="195">
                <c:v>4.875</c:v>
              </c:pt>
              <c:pt idx="196">
                <c:v>4.9000000000000004</c:v>
              </c:pt>
              <c:pt idx="197">
                <c:v>4.9249999999999998</c:v>
              </c:pt>
              <c:pt idx="198">
                <c:v>4.95</c:v>
              </c:pt>
              <c:pt idx="199">
                <c:v>4.9749999999999996</c:v>
              </c:pt>
              <c:pt idx="200">
                <c:v>5</c:v>
              </c:pt>
            </c:numLit>
          </c:cat>
          <c:val>
            <c:numRef>
              <c:f>'Calculations - Dual'!$BU$5:$BU$105</c:f>
              <c:numCache>
                <c:formatCode>0.0</c:formatCode>
                <c:ptCount val="101"/>
                <c:pt idx="0">
                  <c:v>3.3122089710512417</c:v>
                </c:pt>
                <c:pt idx="1">
                  <c:v>4.7982847291687385</c:v>
                </c:pt>
                <c:pt idx="2">
                  <c:v>7.1763735563764559</c:v>
                </c:pt>
                <c:pt idx="3">
                  <c:v>9.6005495010517805</c:v>
                </c:pt>
                <c:pt idx="4">
                  <c:v>12.081342690608077</c:v>
                </c:pt>
                <c:pt idx="5">
                  <c:v>14.627579704515284</c:v>
                </c:pt>
                <c:pt idx="6">
                  <c:v>17.247019931133202</c:v>
                </c:pt>
                <c:pt idx="7">
                  <c:v>19.946670871096529</c:v>
                </c:pt>
                <c:pt idx="8">
                  <c:v>22.732972673957789</c:v>
                </c:pt>
                <c:pt idx="9">
                  <c:v>27.030697766276514</c:v>
                </c:pt>
                <c:pt idx="10">
                  <c:v>33.577271859396518</c:v>
                </c:pt>
                <c:pt idx="11">
                  <c:v>41.004072341128342</c:v>
                </c:pt>
                <c:pt idx="12">
                  <c:v>49.372663692484544</c:v>
                </c:pt>
                <c:pt idx="13">
                  <c:v>58.053747410350759</c:v>
                </c:pt>
                <c:pt idx="14">
                  <c:v>62.632905246242338</c:v>
                </c:pt>
                <c:pt idx="15">
                  <c:v>67.220763323339455</c:v>
                </c:pt>
                <c:pt idx="16">
                  <c:v>71.816771836216276</c:v>
                </c:pt>
                <c:pt idx="17">
                  <c:v>76.420445125256805</c:v>
                </c:pt>
                <c:pt idx="18">
                  <c:v>81.031350897967798</c:v>
                </c:pt>
                <c:pt idx="19">
                  <c:v>85.64910175950429</c:v>
                </c:pt>
                <c:pt idx="20">
                  <c:v>90.273348461784721</c:v>
                </c:pt>
                <c:pt idx="21">
                  <c:v>94.903774453762281</c:v>
                </c:pt>
                <c:pt idx="22">
                  <c:v>94.259127534554935</c:v>
                </c:pt>
                <c:pt idx="23">
                  <c:v>93.656036563328314</c:v>
                </c:pt>
                <c:pt idx="24">
                  <c:v>93.130698075830409</c:v>
                </c:pt>
                <c:pt idx="25">
                  <c:v>92.673163020835872</c:v>
                </c:pt>
                <c:pt idx="26">
                  <c:v>92.275094329904604</c:v>
                </c:pt>
                <c:pt idx="27">
                  <c:v>91.929455566195301</c:v>
                </c:pt>
                <c:pt idx="28">
                  <c:v>91.630268673689628</c:v>
                </c:pt>
                <c:pt idx="29">
                  <c:v>91.37242364144565</c:v>
                </c:pt>
                <c:pt idx="30">
                  <c:v>91.151527600560698</c:v>
                </c:pt>
                <c:pt idx="31">
                  <c:v>90.963784177703161</c:v>
                </c:pt>
                <c:pt idx="32">
                  <c:v>90.8058962838452</c:v>
                </c:pt>
                <c:pt idx="33">
                  <c:v>90.674987214438119</c:v>
                </c:pt>
                <c:pt idx="34">
                  <c:v>90.568536175005391</c:v>
                </c:pt>
                <c:pt idx="35">
                  <c:v>90.484325258115859</c:v>
                </c:pt>
                <c:pt idx="36">
                  <c:v>171.83638608217723</c:v>
                </c:pt>
                <c:pt idx="37">
                  <c:v>176.35002953942083</c:v>
                </c:pt>
                <c:pt idx="38">
                  <c:v>180.87706048864365</c:v>
                </c:pt>
                <c:pt idx="39">
                  <c:v>185.41747892984577</c:v>
                </c:pt>
                <c:pt idx="40">
                  <c:v>189.97128486302719</c:v>
                </c:pt>
                <c:pt idx="41">
                  <c:v>194.53847828818789</c:v>
                </c:pt>
                <c:pt idx="42">
                  <c:v>199.11905920532791</c:v>
                </c:pt>
                <c:pt idx="43">
                  <c:v>203.71302761444713</c:v>
                </c:pt>
                <c:pt idx="44">
                  <c:v>208.32038351554573</c:v>
                </c:pt>
                <c:pt idx="45">
                  <c:v>212.94112690862352</c:v>
                </c:pt>
                <c:pt idx="46">
                  <c:v>217.57525779368058</c:v>
                </c:pt>
                <c:pt idx="47">
                  <c:v>222.22277617071688</c:v>
                </c:pt>
                <c:pt idx="48">
                  <c:v>226.88368203973252</c:v>
                </c:pt>
                <c:pt idx="49">
                  <c:v>231.5579754007274</c:v>
                </c:pt>
                <c:pt idx="50">
                  <c:v>236.2456562537017</c:v>
                </c:pt>
                <c:pt idx="51">
                  <c:v>240.94672459865518</c:v>
                </c:pt>
                <c:pt idx="52">
                  <c:v>245.66118043558782</c:v>
                </c:pt>
                <c:pt idx="53">
                  <c:v>250.38902376449988</c:v>
                </c:pt>
                <c:pt idx="54">
                  <c:v>255.13025458539113</c:v>
                </c:pt>
                <c:pt idx="55">
                  <c:v>259.88487289826173</c:v>
                </c:pt>
                <c:pt idx="56">
                  <c:v>264.65287870311158</c:v>
                </c:pt>
                <c:pt idx="57">
                  <c:v>269.43427199994062</c:v>
                </c:pt>
                <c:pt idx="58">
                  <c:v>274.22905278874902</c:v>
                </c:pt>
                <c:pt idx="59">
                  <c:v>279.03722106953677</c:v>
                </c:pt>
                <c:pt idx="60">
                  <c:v>283.85877684230377</c:v>
                </c:pt>
                <c:pt idx="61">
                  <c:v>288.6937201070499</c:v>
                </c:pt>
                <c:pt idx="62">
                  <c:v>293.54205086377544</c:v>
                </c:pt>
                <c:pt idx="63">
                  <c:v>298.40376911248023</c:v>
                </c:pt>
                <c:pt idx="64">
                  <c:v>299.97416317546214</c:v>
                </c:pt>
                <c:pt idx="65">
                  <c:v>298.18177681914045</c:v>
                </c:pt>
                <c:pt idx="66">
                  <c:v>296.41734386045357</c:v>
                </c:pt>
                <c:pt idx="67">
                  <c:v>294.68021304324981</c:v>
                </c:pt>
                <c:pt idx="68">
                  <c:v>292.96975317916861</c:v>
                </c:pt>
                <c:pt idx="69">
                  <c:v>291.28535238251357</c:v>
                </c:pt>
                <c:pt idx="70">
                  <c:v>289.62641733974039</c:v>
                </c:pt>
                <c:pt idx="71">
                  <c:v>287.99237261175637</c:v>
                </c:pt>
                <c:pt idx="72">
                  <c:v>286.38265996732969</c:v>
                </c:pt>
                <c:pt idx="73">
                  <c:v>284.79673774600923</c:v>
                </c:pt>
                <c:pt idx="74">
                  <c:v>283.2340802490487</c:v>
                </c:pt>
                <c:pt idx="75">
                  <c:v>281.69417715691259</c:v>
                </c:pt>
                <c:pt idx="76">
                  <c:v>280.17653297202696</c:v>
                </c:pt>
                <c:pt idx="77">
                  <c:v>278.68066648551292</c:v>
                </c:pt>
                <c:pt idx="78">
                  <c:v>277.20611026670929</c:v>
                </c:pt>
                <c:pt idx="79">
                  <c:v>275.75241017436213</c:v>
                </c:pt>
                <c:pt idx="80">
                  <c:v>274.31912488841976</c:v>
                </c:pt>
                <c:pt idx="81">
                  <c:v>272.90582546142781</c:v>
                </c:pt>
                <c:pt idx="82">
                  <c:v>271.51209488858069</c:v>
                </c:pt>
                <c:pt idx="83">
                  <c:v>270.13752769552946</c:v>
                </c:pt>
                <c:pt idx="84">
                  <c:v>268.78172954310287</c:v>
                </c:pt>
                <c:pt idx="85">
                  <c:v>267.44431684813708</c:v>
                </c:pt>
                <c:pt idx="86">
                  <c:v>266.12491641965715</c:v>
                </c:pt>
                <c:pt idx="87">
                  <c:v>264.82316510969235</c:v>
                </c:pt>
                <c:pt idx="88">
                  <c:v>263.53870947804415</c:v>
                </c:pt>
                <c:pt idx="89">
                  <c:v>262.27120547036372</c:v>
                </c:pt>
                <c:pt idx="90">
                  <c:v>261.02031810892743</c:v>
                </c:pt>
                <c:pt idx="91">
                  <c:v>259.78572119553223</c:v>
                </c:pt>
                <c:pt idx="92">
                  <c:v>258.56709702596112</c:v>
                </c:pt>
                <c:pt idx="93">
                  <c:v>257.36413611549835</c:v>
                </c:pt>
                <c:pt idx="94">
                  <c:v>256.176536935</c:v>
                </c:pt>
                <c:pt idx="95">
                  <c:v>255.00400565704979</c:v>
                </c:pt>
                <c:pt idx="96">
                  <c:v>253.8462559117562</c:v>
                </c:pt>
                <c:pt idx="97">
                  <c:v>252.70300855176509</c:v>
                </c:pt>
                <c:pt idx="98">
                  <c:v>251.57399142608838</c:v>
                </c:pt>
                <c:pt idx="99">
                  <c:v>250.45893916236329</c:v>
                </c:pt>
                <c:pt idx="100">
                  <c:v>249.35759295718111</c:v>
                </c:pt>
              </c:numCache>
            </c:numRef>
          </c:val>
          <c:smooth val="0"/>
        </c:ser>
        <c:dLbls>
          <c:showLegendKey val="0"/>
          <c:showVal val="0"/>
          <c:showCatName val="0"/>
          <c:showSerName val="0"/>
          <c:showPercent val="0"/>
          <c:showBubbleSize val="0"/>
        </c:dLbls>
        <c:marker val="1"/>
        <c:smooth val="0"/>
        <c:axId val="83494016"/>
        <c:axId val="132017152"/>
      </c:lineChart>
      <c:catAx>
        <c:axId val="83487744"/>
        <c:scaling>
          <c:orientation val="minMax"/>
        </c:scaling>
        <c:delete val="0"/>
        <c:axPos val="b"/>
        <c:majorGridlines>
          <c:spPr>
            <a:ln w="15875">
              <a:solidFill>
                <a:srgbClr val="969696"/>
              </a:solidFill>
              <a:prstDash val="sysDash"/>
            </a:ln>
          </c:spPr>
        </c:majorGridlines>
        <c:minorGridlines/>
        <c:title>
          <c:tx>
            <c:rich>
              <a:bodyPr/>
              <a:lstStyle/>
              <a:p>
                <a:pPr>
                  <a:defRPr sz="1200" b="1" i="0" u="none" strike="noStrike" baseline="0">
                    <a:solidFill>
                      <a:srgbClr val="0000FF"/>
                    </a:solidFill>
                    <a:latin typeface="Arial" pitchFamily="34" charset="0"/>
                    <a:ea typeface="Calibri"/>
                    <a:cs typeface="Arial" pitchFamily="34" charset="0"/>
                  </a:defRPr>
                </a:pPr>
                <a:r>
                  <a:rPr lang="en-US" sz="1200">
                    <a:solidFill>
                      <a:srgbClr val="0000FF"/>
                    </a:solidFill>
                    <a:latin typeface="Arial" pitchFamily="34" charset="0"/>
                    <a:cs typeface="Arial" pitchFamily="34" charset="0"/>
                  </a:rPr>
                  <a:t>%</a:t>
                </a:r>
                <a:r>
                  <a:rPr lang="en-US" sz="1200" baseline="0">
                    <a:solidFill>
                      <a:srgbClr val="0000FF"/>
                    </a:solidFill>
                    <a:latin typeface="Arial" pitchFamily="34" charset="0"/>
                    <a:cs typeface="Arial" pitchFamily="34" charset="0"/>
                  </a:rPr>
                  <a:t> Total Rated Output Power</a:t>
                </a:r>
                <a:endParaRPr lang="en-US" sz="1200">
                  <a:solidFill>
                    <a:srgbClr val="0000FF"/>
                  </a:solidFill>
                  <a:latin typeface="Arial" pitchFamily="34" charset="0"/>
                  <a:cs typeface="Arial" pitchFamily="34" charset="0"/>
                </a:endParaRPr>
              </a:p>
            </c:rich>
          </c:tx>
          <c:layout>
            <c:manualLayout>
              <c:xMode val="edge"/>
              <c:yMode val="edge"/>
              <c:x val="0.37236214410842988"/>
              <c:y val="0.9410299506954154"/>
            </c:manualLayout>
          </c:layout>
          <c:overlay val="0"/>
          <c:spPr>
            <a:noFill/>
            <a:ln w="25400">
              <a:noFill/>
            </a:ln>
          </c:spPr>
        </c:title>
        <c:numFmt formatCode="General" sourceLinked="1"/>
        <c:majorTickMark val="in"/>
        <c:minorTickMark val="in"/>
        <c:tickLblPos val="nextTo"/>
        <c:spPr>
          <a:ln w="3175">
            <a:solidFill>
              <a:srgbClr val="000000"/>
            </a:solidFill>
            <a:prstDash val="solid"/>
          </a:ln>
        </c:spPr>
        <c:txPr>
          <a:bodyPr rot="0" vert="horz"/>
          <a:lstStyle/>
          <a:p>
            <a:pPr>
              <a:defRPr sz="1100" b="1" i="0" u="none" strike="noStrike" baseline="0">
                <a:solidFill>
                  <a:srgbClr val="0000FF"/>
                </a:solidFill>
                <a:latin typeface="Arial" pitchFamily="34" charset="0"/>
                <a:ea typeface="Calibri"/>
                <a:cs typeface="Arial" pitchFamily="34" charset="0"/>
              </a:defRPr>
            </a:pPr>
            <a:endParaRPr lang="ko-KR"/>
          </a:p>
        </c:txPr>
        <c:crossAx val="132015232"/>
        <c:crosses val="autoZero"/>
        <c:auto val="1"/>
        <c:lblAlgn val="ctr"/>
        <c:lblOffset val="100"/>
        <c:tickLblSkip val="20"/>
        <c:tickMarkSkip val="20"/>
        <c:noMultiLvlLbl val="0"/>
      </c:catAx>
      <c:valAx>
        <c:axId val="132015232"/>
        <c:scaling>
          <c:orientation val="minMax"/>
          <c:max val="100"/>
          <c:min val="55"/>
        </c:scaling>
        <c:delete val="0"/>
        <c:axPos val="l"/>
        <c:majorGridlines>
          <c:spPr>
            <a:ln w="15875">
              <a:solidFill>
                <a:srgbClr val="808080"/>
              </a:solidFill>
              <a:prstDash val="solid"/>
            </a:ln>
          </c:spPr>
        </c:majorGridlines>
        <c:title>
          <c:tx>
            <c:rich>
              <a:bodyPr/>
              <a:lstStyle/>
              <a:p>
                <a:pPr>
                  <a:defRPr sz="1400" b="1" i="0" u="none" strike="noStrike" baseline="0">
                    <a:solidFill>
                      <a:srgbClr val="FF0000"/>
                    </a:solidFill>
                    <a:latin typeface="Arial" pitchFamily="34" charset="0"/>
                    <a:ea typeface="Calibri"/>
                    <a:cs typeface="Arial" pitchFamily="34" charset="0"/>
                  </a:defRPr>
                </a:pPr>
                <a:r>
                  <a:rPr lang="en-US" sz="1200" b="1">
                    <a:solidFill>
                      <a:srgbClr val="FF0000"/>
                    </a:solidFill>
                    <a:latin typeface="Arial" pitchFamily="34" charset="0"/>
                    <a:cs typeface="Arial" pitchFamily="34" charset="0"/>
                  </a:rPr>
                  <a:t>Efficiency  (%)</a:t>
                </a:r>
              </a:p>
            </c:rich>
          </c:tx>
          <c:layout>
            <c:manualLayout>
              <c:xMode val="edge"/>
              <c:yMode val="edge"/>
              <c:x val="1.2871858674081443E-2"/>
              <c:y val="0.37638177915688309"/>
            </c:manualLayout>
          </c:layout>
          <c:overlay val="0"/>
          <c:spPr>
            <a:noFill/>
            <a:ln w="25400">
              <a:noFill/>
            </a:ln>
          </c:spPr>
        </c:title>
        <c:numFmt formatCode="General" sourceLinked="0"/>
        <c:majorTickMark val="in"/>
        <c:minorTickMark val="in"/>
        <c:tickLblPos val="nextTo"/>
        <c:spPr>
          <a:ln w="3175">
            <a:solidFill>
              <a:srgbClr val="000000"/>
            </a:solidFill>
            <a:prstDash val="solid"/>
          </a:ln>
        </c:spPr>
        <c:txPr>
          <a:bodyPr rot="0" vert="horz"/>
          <a:lstStyle/>
          <a:p>
            <a:pPr>
              <a:defRPr sz="1100" b="1" i="0" u="none" strike="noStrike" baseline="0">
                <a:solidFill>
                  <a:srgbClr val="FF0000"/>
                </a:solidFill>
                <a:latin typeface="Arial" pitchFamily="34" charset="0"/>
                <a:ea typeface="Calibri"/>
                <a:cs typeface="Arial" pitchFamily="34" charset="0"/>
              </a:defRPr>
            </a:pPr>
            <a:endParaRPr lang="ko-KR"/>
          </a:p>
        </c:txPr>
        <c:crossAx val="83487744"/>
        <c:crossesAt val="0"/>
        <c:crossBetween val="between"/>
        <c:majorUnit val="5"/>
        <c:minorUnit val="2.5"/>
      </c:valAx>
      <c:valAx>
        <c:axId val="132017152"/>
        <c:scaling>
          <c:orientation val="minMax"/>
        </c:scaling>
        <c:delete val="0"/>
        <c:axPos val="r"/>
        <c:title>
          <c:tx>
            <c:rich>
              <a:bodyPr rot="-5400000" vert="horz"/>
              <a:lstStyle/>
              <a:p>
                <a:pPr>
                  <a:defRPr sz="1200" b="1"/>
                </a:pPr>
                <a:r>
                  <a:rPr lang="en-US" sz="1200" b="1"/>
                  <a:t>Power Loss (mW)</a:t>
                </a:r>
              </a:p>
            </c:rich>
          </c:tx>
          <c:layout>
            <c:manualLayout>
              <c:xMode val="edge"/>
              <c:yMode val="edge"/>
              <c:x val="0.95168474305601269"/>
              <c:y val="0.38117714045368295"/>
            </c:manualLayout>
          </c:layout>
          <c:overlay val="0"/>
        </c:title>
        <c:numFmt formatCode="General" sourceLinked="0"/>
        <c:majorTickMark val="out"/>
        <c:minorTickMark val="none"/>
        <c:tickLblPos val="nextTo"/>
        <c:txPr>
          <a:bodyPr/>
          <a:lstStyle/>
          <a:p>
            <a:pPr>
              <a:defRPr sz="1100" b="1">
                <a:solidFill>
                  <a:sysClr val="windowText" lastClr="000000"/>
                </a:solidFill>
              </a:defRPr>
            </a:pPr>
            <a:endParaRPr lang="ko-KR"/>
          </a:p>
        </c:txPr>
        <c:crossAx val="83494016"/>
        <c:crosses val="max"/>
        <c:crossBetween val="between"/>
      </c:valAx>
      <c:catAx>
        <c:axId val="83494016"/>
        <c:scaling>
          <c:orientation val="minMax"/>
        </c:scaling>
        <c:delete val="1"/>
        <c:axPos val="b"/>
        <c:numFmt formatCode="General" sourceLinked="1"/>
        <c:majorTickMark val="out"/>
        <c:minorTickMark val="none"/>
        <c:tickLblPos val="nextTo"/>
        <c:crossAx val="132017152"/>
        <c:crosses val="autoZero"/>
        <c:auto val="1"/>
        <c:lblAlgn val="ctr"/>
        <c:lblOffset val="100"/>
        <c:noMultiLvlLbl val="0"/>
      </c:catAx>
      <c:spPr>
        <a:noFill/>
        <a:ln w="25400">
          <a:noFill/>
        </a:ln>
      </c:spPr>
    </c:plotArea>
    <c:legend>
      <c:legendPos val="t"/>
      <c:layout>
        <c:manualLayout>
          <c:xMode val="edge"/>
          <c:yMode val="edge"/>
          <c:x val="0.40102557566231317"/>
          <c:y val="1.1892633038167682E-2"/>
          <c:w val="0.50550962619267337"/>
          <c:h val="8.9795049320617604E-2"/>
        </c:manualLayout>
      </c:layout>
      <c:overlay val="0"/>
      <c:spPr>
        <a:solidFill>
          <a:srgbClr val="FFFFFF"/>
        </a:solidFill>
        <a:ln w="25400">
          <a:noFill/>
        </a:ln>
      </c:spPr>
      <c:txPr>
        <a:bodyPr/>
        <a:lstStyle/>
        <a:p>
          <a:pPr>
            <a:defRPr sz="1100" b="0" i="0" u="none" strike="noStrike" baseline="0">
              <a:solidFill>
                <a:srgbClr val="000000"/>
              </a:solidFill>
              <a:latin typeface="Arial" pitchFamily="34" charset="0"/>
              <a:ea typeface="Calibri"/>
              <a:cs typeface="Arial" pitchFamily="34" charset="0"/>
            </a:defRPr>
          </a:pPr>
          <a:endParaRPr lang="ko-KR"/>
        </a:p>
      </c:txPr>
    </c:legend>
    <c:plotVisOnly val="1"/>
    <c:dispBlanksAs val="gap"/>
    <c:showDLblsOverMax val="0"/>
  </c:chart>
  <c:spPr>
    <a:solidFill>
      <a:srgbClr val="FFFFFF"/>
    </a:solidFill>
    <a:ln w="9525">
      <a:solidFill>
        <a:srgbClr val="808080"/>
      </a:solidFill>
    </a:ln>
  </c:spPr>
  <c:txPr>
    <a:bodyPr/>
    <a:lstStyle/>
    <a:p>
      <a:pPr>
        <a:defRPr sz="850" b="0" i="0" u="none" strike="noStrike" baseline="0">
          <a:solidFill>
            <a:srgbClr val="000000"/>
          </a:solidFill>
          <a:latin typeface="Arial"/>
          <a:ea typeface="Arial"/>
          <a:cs typeface="Arial"/>
        </a:defRPr>
      </a:pPr>
      <a:endParaRPr lang="ko-KR"/>
    </a:p>
  </c:txPr>
  <c:printSettings>
    <c:headerFooter alignWithMargins="0"/>
    <c:pageMargins b="1" l="0.750000000000006" r="0.750000000000006" t="1" header="0.5" footer="0.5"/>
    <c:pageSetup paperSize="5"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ko-K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280746883383756E-2"/>
          <c:y val="0.12133523343001466"/>
          <c:w val="0.86047278973849184"/>
          <c:h val="0.7558980268938309"/>
        </c:manualLayout>
      </c:layout>
      <c:lineChart>
        <c:grouping val="standard"/>
        <c:varyColors val="0"/>
        <c:ser>
          <c:idx val="1"/>
          <c:order val="0"/>
          <c:tx>
            <c:v>VIN-min</c:v>
          </c:tx>
          <c:spPr>
            <a:ln>
              <a:solidFill>
                <a:srgbClr val="00B050"/>
              </a:solidFill>
              <a:prstDash val="sysDash"/>
            </a:ln>
          </c:spPr>
          <c:marker>
            <c:symbol val="none"/>
          </c:marker>
          <c:val>
            <c:numRef>
              <c:f>'Calculations - Single'!$AJ$110:$AJ$210</c:f>
              <c:numCache>
                <c:formatCode>0.000</c:formatCode>
                <c:ptCount val="101"/>
                <c:pt idx="0">
                  <c:v>0.28999999999999998</c:v>
                </c:pt>
                <c:pt idx="1">
                  <c:v>0.28999999999999998</c:v>
                </c:pt>
                <c:pt idx="2">
                  <c:v>0.28999999999999998</c:v>
                </c:pt>
                <c:pt idx="3">
                  <c:v>0.28999999999999998</c:v>
                </c:pt>
                <c:pt idx="4">
                  <c:v>0.28999999999999998</c:v>
                </c:pt>
                <c:pt idx="5">
                  <c:v>0.28999999999999998</c:v>
                </c:pt>
                <c:pt idx="6">
                  <c:v>0.28999999999999998</c:v>
                </c:pt>
                <c:pt idx="7">
                  <c:v>0.28999999999999998</c:v>
                </c:pt>
                <c:pt idx="8">
                  <c:v>0.28999999999999998</c:v>
                </c:pt>
                <c:pt idx="9">
                  <c:v>0.28999999999999998</c:v>
                </c:pt>
                <c:pt idx="10">
                  <c:v>0.28999999999999998</c:v>
                </c:pt>
                <c:pt idx="11">
                  <c:v>0.28999999999999998</c:v>
                </c:pt>
                <c:pt idx="12">
                  <c:v>0.28999999999999998</c:v>
                </c:pt>
                <c:pt idx="13">
                  <c:v>0.29148633881244884</c:v>
                </c:pt>
                <c:pt idx="14">
                  <c:v>0.30248966924508347</c:v>
                </c:pt>
                <c:pt idx="15">
                  <c:v>0.31310655420433836</c:v>
                </c:pt>
                <c:pt idx="16">
                  <c:v>0.32337505867247796</c:v>
                </c:pt>
                <c:pt idx="17">
                  <c:v>0.33332738089923375</c:v>
                </c:pt>
                <c:pt idx="18">
                  <c:v>0.37517564402810305</c:v>
                </c:pt>
                <c:pt idx="19">
                  <c:v>0.3960187353629977</c:v>
                </c:pt>
                <c:pt idx="20">
                  <c:v>0.41686182669789223</c:v>
                </c:pt>
                <c:pt idx="21">
                  <c:v>0.43770491803278694</c:v>
                </c:pt>
                <c:pt idx="22">
                  <c:v>0.45854800936768153</c:v>
                </c:pt>
                <c:pt idx="23">
                  <c:v>0.47939110070257623</c:v>
                </c:pt>
                <c:pt idx="24">
                  <c:v>0.50023419203747066</c:v>
                </c:pt>
                <c:pt idx="25">
                  <c:v>0.52107728337236536</c:v>
                </c:pt>
                <c:pt idx="26">
                  <c:v>0.54192037470725996</c:v>
                </c:pt>
                <c:pt idx="27">
                  <c:v>0.56276346604215466</c:v>
                </c:pt>
                <c:pt idx="28">
                  <c:v>0.58360655737704925</c:v>
                </c:pt>
                <c:pt idx="29">
                  <c:v>0.60444964871194384</c:v>
                </c:pt>
                <c:pt idx="30">
                  <c:v>0.62529274004683844</c:v>
                </c:pt>
                <c:pt idx="31">
                  <c:v>0.64613583138173303</c:v>
                </c:pt>
                <c:pt idx="32">
                  <c:v>0.66697892271662762</c:v>
                </c:pt>
                <c:pt idx="33">
                  <c:v>0.68782201405152232</c:v>
                </c:pt>
                <c:pt idx="34">
                  <c:v>0.70866510538641692</c:v>
                </c:pt>
                <c:pt idx="35">
                  <c:v>0.72950819672131151</c:v>
                </c:pt>
                <c:pt idx="36">
                  <c:v>0.7503512880562061</c:v>
                </c:pt>
                <c:pt idx="37">
                  <c:v>0.7711943793911008</c:v>
                </c:pt>
                <c:pt idx="38">
                  <c:v>0.7920374707259954</c:v>
                </c:pt>
                <c:pt idx="39">
                  <c:v>0.81288056206088999</c:v>
                </c:pt>
                <c:pt idx="40">
                  <c:v>0.83372365339578447</c:v>
                </c:pt>
                <c:pt idx="41">
                  <c:v>0.85456674473067906</c:v>
                </c:pt>
                <c:pt idx="42">
                  <c:v>0.87540983606557388</c:v>
                </c:pt>
                <c:pt idx="43">
                  <c:v>0.89625292740046847</c:v>
                </c:pt>
                <c:pt idx="44">
                  <c:v>0.91709601873536306</c:v>
                </c:pt>
                <c:pt idx="45">
                  <c:v>0.93793911007025788</c:v>
                </c:pt>
                <c:pt idx="46">
                  <c:v>0.95878220140515247</c:v>
                </c:pt>
                <c:pt idx="47">
                  <c:v>0.97962529274004684</c:v>
                </c:pt>
                <c:pt idx="48">
                  <c:v>1.0004683840749413</c:v>
                </c:pt>
                <c:pt idx="49">
                  <c:v>1.0213114754098362</c:v>
                </c:pt>
                <c:pt idx="50">
                  <c:v>1.0421545667447307</c:v>
                </c:pt>
                <c:pt idx="51">
                  <c:v>1.0629976580796254</c:v>
                </c:pt>
                <c:pt idx="52">
                  <c:v>1.0838407494145199</c:v>
                </c:pt>
                <c:pt idx="53">
                  <c:v>1.1046838407494146</c:v>
                </c:pt>
                <c:pt idx="54">
                  <c:v>1.1255269320843093</c:v>
                </c:pt>
                <c:pt idx="55">
                  <c:v>1.1463700234192038</c:v>
                </c:pt>
                <c:pt idx="56">
                  <c:v>1.1672131147540985</c:v>
                </c:pt>
                <c:pt idx="57">
                  <c:v>1.188056206088993</c:v>
                </c:pt>
                <c:pt idx="58">
                  <c:v>1.2088992974238877</c:v>
                </c:pt>
                <c:pt idx="59">
                  <c:v>1.2297423887587822</c:v>
                </c:pt>
                <c:pt idx="60">
                  <c:v>1.2505854800936769</c:v>
                </c:pt>
                <c:pt idx="61">
                  <c:v>1.2714285714285716</c:v>
                </c:pt>
                <c:pt idx="62">
                  <c:v>1.2922716627634661</c:v>
                </c:pt>
                <c:pt idx="63">
                  <c:v>1.3131147540983608</c:v>
                </c:pt>
                <c:pt idx="64">
                  <c:v>1.3339578454332552</c:v>
                </c:pt>
                <c:pt idx="65">
                  <c:v>1.3548009367681502</c:v>
                </c:pt>
                <c:pt idx="66">
                  <c:v>1.3756440281030446</c:v>
                </c:pt>
                <c:pt idx="67">
                  <c:v>1.3964871194379394</c:v>
                </c:pt>
                <c:pt idx="68">
                  <c:v>1.4173302107728338</c:v>
                </c:pt>
                <c:pt idx="69">
                  <c:v>1.4381733021077285</c:v>
                </c:pt>
                <c:pt idx="70">
                  <c:v>1.45</c:v>
                </c:pt>
                <c:pt idx="71">
                  <c:v>1.45</c:v>
                </c:pt>
                <c:pt idx="72">
                  <c:v>1.45</c:v>
                </c:pt>
                <c:pt idx="73">
                  <c:v>1.45</c:v>
                </c:pt>
                <c:pt idx="74">
                  <c:v>1.45</c:v>
                </c:pt>
                <c:pt idx="75">
                  <c:v>1.45</c:v>
                </c:pt>
                <c:pt idx="76">
                  <c:v>1.45</c:v>
                </c:pt>
                <c:pt idx="77">
                  <c:v>1.45</c:v>
                </c:pt>
                <c:pt idx="78">
                  <c:v>1.45</c:v>
                </c:pt>
                <c:pt idx="79">
                  <c:v>1.45</c:v>
                </c:pt>
                <c:pt idx="80">
                  <c:v>1.45</c:v>
                </c:pt>
                <c:pt idx="81">
                  <c:v>1.45</c:v>
                </c:pt>
                <c:pt idx="82">
                  <c:v>1.45</c:v>
                </c:pt>
                <c:pt idx="83">
                  <c:v>1.45</c:v>
                </c:pt>
                <c:pt idx="84">
                  <c:v>1.45</c:v>
                </c:pt>
                <c:pt idx="85">
                  <c:v>1.45</c:v>
                </c:pt>
                <c:pt idx="86">
                  <c:v>1.45</c:v>
                </c:pt>
                <c:pt idx="87">
                  <c:v>1.45</c:v>
                </c:pt>
                <c:pt idx="88">
                  <c:v>1.45</c:v>
                </c:pt>
                <c:pt idx="89">
                  <c:v>1.45</c:v>
                </c:pt>
                <c:pt idx="90">
                  <c:v>1.45</c:v>
                </c:pt>
                <c:pt idx="91">
                  <c:v>1.45</c:v>
                </c:pt>
                <c:pt idx="92">
                  <c:v>1.45</c:v>
                </c:pt>
                <c:pt idx="93">
                  <c:v>1.45</c:v>
                </c:pt>
                <c:pt idx="94">
                  <c:v>1.45</c:v>
                </c:pt>
                <c:pt idx="95">
                  <c:v>1.45</c:v>
                </c:pt>
                <c:pt idx="96">
                  <c:v>1.45</c:v>
                </c:pt>
                <c:pt idx="97">
                  <c:v>1.45</c:v>
                </c:pt>
                <c:pt idx="98">
                  <c:v>1.45</c:v>
                </c:pt>
                <c:pt idx="99">
                  <c:v>1.45</c:v>
                </c:pt>
                <c:pt idx="100">
                  <c:v>1.45</c:v>
                </c:pt>
              </c:numCache>
            </c:numRef>
          </c:val>
          <c:smooth val="0"/>
        </c:ser>
        <c:ser>
          <c:idx val="0"/>
          <c:order val="1"/>
          <c:tx>
            <c:v>VIN-nom</c:v>
          </c:tx>
          <c:spPr>
            <a:ln w="28575">
              <a:solidFill>
                <a:srgbClr val="0000FF"/>
              </a:solidFill>
              <a:prstDash val="lgDash"/>
            </a:ln>
          </c:spPr>
          <c:marker>
            <c:symbol val="none"/>
          </c:marker>
          <c:cat>
            <c:numRef>
              <c:f>'Calculations - Single'!$AM$5:$AM$105</c:f>
              <c:numCache>
                <c:formatCode>0</c:formatCode>
                <c:ptCount val="101"/>
                <c:pt idx="0">
                  <c:v>1.0000000000000002E-6</c:v>
                </c:pt>
                <c:pt idx="1">
                  <c:v>3</c:v>
                </c:pt>
                <c:pt idx="2">
                  <c:v>6</c:v>
                </c:pt>
                <c:pt idx="3">
                  <c:v>9</c:v>
                </c:pt>
                <c:pt idx="4">
                  <c:v>12</c:v>
                </c:pt>
                <c:pt idx="5">
                  <c:v>15</c:v>
                </c:pt>
                <c:pt idx="6">
                  <c:v>18</c:v>
                </c:pt>
                <c:pt idx="7">
                  <c:v>21</c:v>
                </c:pt>
                <c:pt idx="8">
                  <c:v>24</c:v>
                </c:pt>
                <c:pt idx="9">
                  <c:v>27</c:v>
                </c:pt>
                <c:pt idx="10">
                  <c:v>30</c:v>
                </c:pt>
                <c:pt idx="11">
                  <c:v>33</c:v>
                </c:pt>
                <c:pt idx="12">
                  <c:v>36</c:v>
                </c:pt>
                <c:pt idx="13">
                  <c:v>39</c:v>
                </c:pt>
                <c:pt idx="14">
                  <c:v>42</c:v>
                </c:pt>
                <c:pt idx="15">
                  <c:v>45</c:v>
                </c:pt>
                <c:pt idx="16">
                  <c:v>48</c:v>
                </c:pt>
                <c:pt idx="17">
                  <c:v>51.000000000000007</c:v>
                </c:pt>
                <c:pt idx="18">
                  <c:v>54</c:v>
                </c:pt>
                <c:pt idx="19">
                  <c:v>56.999999999999993</c:v>
                </c:pt>
                <c:pt idx="20">
                  <c:v>60</c:v>
                </c:pt>
                <c:pt idx="21">
                  <c:v>63</c:v>
                </c:pt>
                <c:pt idx="22">
                  <c:v>66</c:v>
                </c:pt>
                <c:pt idx="23">
                  <c:v>69</c:v>
                </c:pt>
                <c:pt idx="24">
                  <c:v>72</c:v>
                </c:pt>
                <c:pt idx="25">
                  <c:v>75</c:v>
                </c:pt>
                <c:pt idx="26">
                  <c:v>78</c:v>
                </c:pt>
                <c:pt idx="27">
                  <c:v>81</c:v>
                </c:pt>
                <c:pt idx="28">
                  <c:v>84</c:v>
                </c:pt>
                <c:pt idx="29">
                  <c:v>87</c:v>
                </c:pt>
                <c:pt idx="30">
                  <c:v>90</c:v>
                </c:pt>
                <c:pt idx="31">
                  <c:v>93</c:v>
                </c:pt>
                <c:pt idx="32">
                  <c:v>96</c:v>
                </c:pt>
                <c:pt idx="33">
                  <c:v>99</c:v>
                </c:pt>
                <c:pt idx="34">
                  <c:v>102.00000000000001</c:v>
                </c:pt>
                <c:pt idx="35">
                  <c:v>105</c:v>
                </c:pt>
                <c:pt idx="36">
                  <c:v>108</c:v>
                </c:pt>
                <c:pt idx="37">
                  <c:v>111</c:v>
                </c:pt>
                <c:pt idx="38">
                  <c:v>113.99999999999999</c:v>
                </c:pt>
                <c:pt idx="39">
                  <c:v>117</c:v>
                </c:pt>
                <c:pt idx="40">
                  <c:v>120</c:v>
                </c:pt>
                <c:pt idx="41">
                  <c:v>122.99999999999999</c:v>
                </c:pt>
                <c:pt idx="42">
                  <c:v>126</c:v>
                </c:pt>
                <c:pt idx="43">
                  <c:v>129</c:v>
                </c:pt>
                <c:pt idx="44">
                  <c:v>132</c:v>
                </c:pt>
                <c:pt idx="45">
                  <c:v>135</c:v>
                </c:pt>
                <c:pt idx="46">
                  <c:v>138</c:v>
                </c:pt>
                <c:pt idx="47">
                  <c:v>141</c:v>
                </c:pt>
                <c:pt idx="48">
                  <c:v>144</c:v>
                </c:pt>
                <c:pt idx="49">
                  <c:v>147</c:v>
                </c:pt>
                <c:pt idx="50">
                  <c:v>150</c:v>
                </c:pt>
                <c:pt idx="51">
                  <c:v>153</c:v>
                </c:pt>
                <c:pt idx="52">
                  <c:v>156</c:v>
                </c:pt>
                <c:pt idx="53">
                  <c:v>159</c:v>
                </c:pt>
                <c:pt idx="54">
                  <c:v>162</c:v>
                </c:pt>
                <c:pt idx="55">
                  <c:v>165</c:v>
                </c:pt>
                <c:pt idx="56">
                  <c:v>168</c:v>
                </c:pt>
                <c:pt idx="57">
                  <c:v>170.99999999999997</c:v>
                </c:pt>
                <c:pt idx="58">
                  <c:v>174</c:v>
                </c:pt>
                <c:pt idx="59">
                  <c:v>177</c:v>
                </c:pt>
                <c:pt idx="60">
                  <c:v>180</c:v>
                </c:pt>
                <c:pt idx="61">
                  <c:v>183</c:v>
                </c:pt>
                <c:pt idx="62">
                  <c:v>186</c:v>
                </c:pt>
                <c:pt idx="63">
                  <c:v>189</c:v>
                </c:pt>
                <c:pt idx="64">
                  <c:v>192</c:v>
                </c:pt>
                <c:pt idx="65">
                  <c:v>195</c:v>
                </c:pt>
                <c:pt idx="66">
                  <c:v>198</c:v>
                </c:pt>
                <c:pt idx="67">
                  <c:v>201</c:v>
                </c:pt>
                <c:pt idx="68">
                  <c:v>204.00000000000003</c:v>
                </c:pt>
                <c:pt idx="69">
                  <c:v>207</c:v>
                </c:pt>
                <c:pt idx="70">
                  <c:v>210</c:v>
                </c:pt>
                <c:pt idx="71">
                  <c:v>213</c:v>
                </c:pt>
                <c:pt idx="72">
                  <c:v>216</c:v>
                </c:pt>
                <c:pt idx="73">
                  <c:v>219</c:v>
                </c:pt>
                <c:pt idx="74">
                  <c:v>222</c:v>
                </c:pt>
                <c:pt idx="75">
                  <c:v>224.99999999999997</c:v>
                </c:pt>
                <c:pt idx="76">
                  <c:v>227.99999999999997</c:v>
                </c:pt>
                <c:pt idx="77">
                  <c:v>230.99999999999997</c:v>
                </c:pt>
                <c:pt idx="78">
                  <c:v>234</c:v>
                </c:pt>
                <c:pt idx="79">
                  <c:v>237</c:v>
                </c:pt>
                <c:pt idx="80">
                  <c:v>240</c:v>
                </c:pt>
                <c:pt idx="81">
                  <c:v>243</c:v>
                </c:pt>
                <c:pt idx="82">
                  <c:v>245.99999999999997</c:v>
                </c:pt>
                <c:pt idx="83">
                  <c:v>248.99999999999997</c:v>
                </c:pt>
                <c:pt idx="84">
                  <c:v>252</c:v>
                </c:pt>
                <c:pt idx="85">
                  <c:v>255</c:v>
                </c:pt>
                <c:pt idx="86">
                  <c:v>258</c:v>
                </c:pt>
                <c:pt idx="87">
                  <c:v>261</c:v>
                </c:pt>
                <c:pt idx="88">
                  <c:v>264</c:v>
                </c:pt>
                <c:pt idx="89">
                  <c:v>267</c:v>
                </c:pt>
                <c:pt idx="90">
                  <c:v>270</c:v>
                </c:pt>
                <c:pt idx="91">
                  <c:v>273</c:v>
                </c:pt>
                <c:pt idx="92">
                  <c:v>276</c:v>
                </c:pt>
                <c:pt idx="93">
                  <c:v>279</c:v>
                </c:pt>
                <c:pt idx="94">
                  <c:v>282</c:v>
                </c:pt>
                <c:pt idx="95">
                  <c:v>285</c:v>
                </c:pt>
                <c:pt idx="96">
                  <c:v>288</c:v>
                </c:pt>
                <c:pt idx="97">
                  <c:v>291</c:v>
                </c:pt>
                <c:pt idx="98">
                  <c:v>294</c:v>
                </c:pt>
                <c:pt idx="99">
                  <c:v>297</c:v>
                </c:pt>
                <c:pt idx="100">
                  <c:v>300</c:v>
                </c:pt>
              </c:numCache>
            </c:numRef>
          </c:cat>
          <c:val>
            <c:numRef>
              <c:f>'Calculations - Single'!$AJ$5:$AJ$105</c:f>
              <c:numCache>
                <c:formatCode>0.000</c:formatCode>
                <c:ptCount val="101"/>
                <c:pt idx="0">
                  <c:v>0.28999999999999998</c:v>
                </c:pt>
                <c:pt idx="1">
                  <c:v>0.28999999999999998</c:v>
                </c:pt>
                <c:pt idx="2">
                  <c:v>0.28999999999999998</c:v>
                </c:pt>
                <c:pt idx="3">
                  <c:v>0.28999999999999998</c:v>
                </c:pt>
                <c:pt idx="4">
                  <c:v>0.28999999999999998</c:v>
                </c:pt>
                <c:pt idx="5">
                  <c:v>0.28999999999999998</c:v>
                </c:pt>
                <c:pt idx="6">
                  <c:v>0.28999999999999998</c:v>
                </c:pt>
                <c:pt idx="7">
                  <c:v>0.28999999999999998</c:v>
                </c:pt>
                <c:pt idx="8">
                  <c:v>0.28999999999999998</c:v>
                </c:pt>
                <c:pt idx="9">
                  <c:v>0.28999999999999998</c:v>
                </c:pt>
                <c:pt idx="10">
                  <c:v>0.28999999999999998</c:v>
                </c:pt>
                <c:pt idx="11">
                  <c:v>0.28999999999999998</c:v>
                </c:pt>
                <c:pt idx="12">
                  <c:v>0.29519969028245463</c:v>
                </c:pt>
                <c:pt idx="13">
                  <c:v>0.30725357915695939</c:v>
                </c:pt>
                <c:pt idx="14">
                  <c:v>0.31885210782848317</c:v>
                </c:pt>
                <c:pt idx="15">
                  <c:v>0.33004328720422632</c:v>
                </c:pt>
                <c:pt idx="16">
                  <c:v>0.34086724129853868</c:v>
                </c:pt>
                <c:pt idx="17">
                  <c:v>0.35135791004669437</c:v>
                </c:pt>
                <c:pt idx="18">
                  <c:v>0.36154430670982179</c:v>
                </c:pt>
                <c:pt idx="19">
                  <c:v>0.37145146449595601</c:v>
                </c:pt>
                <c:pt idx="20">
                  <c:v>0.38110116142317807</c:v>
                </c:pt>
                <c:pt idx="21">
                  <c:v>0.39051248379533265</c:v>
                </c:pt>
                <c:pt idx="22">
                  <c:v>0.39970227014855042</c:v>
                </c:pt>
                <c:pt idx="23">
                  <c:v>0.40868546527104382</c:v>
                </c:pt>
                <c:pt idx="24">
                  <c:v>0.4174754056057845</c:v>
                </c:pt>
                <c:pt idx="25">
                  <c:v>0.42608405162317331</c:v>
                </c:pt>
                <c:pt idx="26">
                  <c:v>0.43452217873144727</c:v>
                </c:pt>
                <c:pt idx="27">
                  <c:v>0.44279953542368194</c:v>
                </c:pt>
                <c:pt idx="28">
                  <c:v>0.45092497528228942</c:v>
                </c:pt>
                <c:pt idx="29">
                  <c:v>0.45890656793647883</c:v>
                </c:pt>
                <c:pt idx="30">
                  <c:v>0.46675169293441543</c:v>
                </c:pt>
                <c:pt idx="31">
                  <c:v>0.47446711963954635</c:v>
                </c:pt>
                <c:pt idx="32">
                  <c:v>0.48205907561309574</c:v>
                </c:pt>
                <c:pt idx="33">
                  <c:v>0.48953330544801255</c:v>
                </c:pt>
                <c:pt idx="34">
                  <c:v>0.49689512163510108</c:v>
                </c:pt>
                <c:pt idx="35">
                  <c:v>0.50414944874180578</c:v>
                </c:pt>
                <c:pt idx="36">
                  <c:v>0.53606557377049169</c:v>
                </c:pt>
                <c:pt idx="37">
                  <c:v>0.55095628415300546</c:v>
                </c:pt>
                <c:pt idx="38">
                  <c:v>0.56584699453551912</c:v>
                </c:pt>
                <c:pt idx="39">
                  <c:v>0.58073770491803267</c:v>
                </c:pt>
                <c:pt idx="40">
                  <c:v>0.59562841530054633</c:v>
                </c:pt>
                <c:pt idx="41">
                  <c:v>0.61051912568305999</c:v>
                </c:pt>
                <c:pt idx="42">
                  <c:v>0.62540983606557377</c:v>
                </c:pt>
                <c:pt idx="43">
                  <c:v>0.64030054644808743</c:v>
                </c:pt>
                <c:pt idx="44">
                  <c:v>0.65519125683060109</c:v>
                </c:pt>
                <c:pt idx="45">
                  <c:v>0.67008196721311486</c:v>
                </c:pt>
                <c:pt idx="46">
                  <c:v>0.68497267759562841</c:v>
                </c:pt>
                <c:pt idx="47">
                  <c:v>0.69986338797814196</c:v>
                </c:pt>
                <c:pt idx="48">
                  <c:v>0.71475409836065562</c:v>
                </c:pt>
                <c:pt idx="49">
                  <c:v>0.72964480874316939</c:v>
                </c:pt>
                <c:pt idx="50">
                  <c:v>0.74453551912568305</c:v>
                </c:pt>
                <c:pt idx="51">
                  <c:v>0.7594262295081966</c:v>
                </c:pt>
                <c:pt idx="52">
                  <c:v>0.77431693989071027</c:v>
                </c:pt>
                <c:pt idx="53">
                  <c:v>0.78920765027322404</c:v>
                </c:pt>
                <c:pt idx="54">
                  <c:v>0.8040983606557377</c:v>
                </c:pt>
                <c:pt idx="55">
                  <c:v>0.81898907103825136</c:v>
                </c:pt>
                <c:pt idx="56">
                  <c:v>0.83387978142076502</c:v>
                </c:pt>
                <c:pt idx="57">
                  <c:v>0.84877049180327857</c:v>
                </c:pt>
                <c:pt idx="58">
                  <c:v>0.86366120218579223</c:v>
                </c:pt>
                <c:pt idx="59">
                  <c:v>0.87855191256830589</c:v>
                </c:pt>
                <c:pt idx="60">
                  <c:v>0.89344262295081955</c:v>
                </c:pt>
                <c:pt idx="61">
                  <c:v>0.90833333333333333</c:v>
                </c:pt>
                <c:pt idx="62">
                  <c:v>0.92322404371584699</c:v>
                </c:pt>
                <c:pt idx="63">
                  <c:v>0.93811475409836054</c:v>
                </c:pt>
                <c:pt idx="64">
                  <c:v>0.9530054644808742</c:v>
                </c:pt>
                <c:pt idx="65">
                  <c:v>0.96789617486338797</c:v>
                </c:pt>
                <c:pt idx="66">
                  <c:v>0.98278688524590163</c:v>
                </c:pt>
                <c:pt idx="67">
                  <c:v>0.99767759562841529</c:v>
                </c:pt>
                <c:pt idx="68">
                  <c:v>1.012568306010929</c:v>
                </c:pt>
                <c:pt idx="69">
                  <c:v>1.0274590163934425</c:v>
                </c:pt>
                <c:pt idx="70">
                  <c:v>1.0423497267759563</c:v>
                </c:pt>
                <c:pt idx="71">
                  <c:v>1.0572404371584698</c:v>
                </c:pt>
                <c:pt idx="72">
                  <c:v>1.0721311475409834</c:v>
                </c:pt>
                <c:pt idx="73">
                  <c:v>1.0870218579234971</c:v>
                </c:pt>
                <c:pt idx="74">
                  <c:v>1.1019125683060109</c:v>
                </c:pt>
                <c:pt idx="75">
                  <c:v>1.1168032786885245</c:v>
                </c:pt>
                <c:pt idx="76">
                  <c:v>1.1316939890710382</c:v>
                </c:pt>
                <c:pt idx="77">
                  <c:v>1.1465846994535518</c:v>
                </c:pt>
                <c:pt idx="78">
                  <c:v>1.1614754098360653</c:v>
                </c:pt>
                <c:pt idx="79">
                  <c:v>1.1763661202185791</c:v>
                </c:pt>
                <c:pt idx="80">
                  <c:v>1.1912568306010927</c:v>
                </c:pt>
                <c:pt idx="81">
                  <c:v>1.2061475409836064</c:v>
                </c:pt>
                <c:pt idx="82">
                  <c:v>1.22103825136612</c:v>
                </c:pt>
                <c:pt idx="83">
                  <c:v>1.2359289617486335</c:v>
                </c:pt>
                <c:pt idx="84">
                  <c:v>1.2508196721311475</c:v>
                </c:pt>
                <c:pt idx="85">
                  <c:v>1.2657103825136611</c:v>
                </c:pt>
                <c:pt idx="86">
                  <c:v>1.2806010928961749</c:v>
                </c:pt>
                <c:pt idx="87">
                  <c:v>1.2954918032786884</c:v>
                </c:pt>
                <c:pt idx="88">
                  <c:v>1.3103825136612022</c:v>
                </c:pt>
                <c:pt idx="89">
                  <c:v>1.3252732240437157</c:v>
                </c:pt>
                <c:pt idx="90">
                  <c:v>1.3401639344262297</c:v>
                </c:pt>
                <c:pt idx="91">
                  <c:v>1.3550546448087433</c:v>
                </c:pt>
                <c:pt idx="92">
                  <c:v>1.3699453551912568</c:v>
                </c:pt>
                <c:pt idx="93">
                  <c:v>1.3848360655737706</c:v>
                </c:pt>
                <c:pt idx="94">
                  <c:v>1.3997267759562839</c:v>
                </c:pt>
                <c:pt idx="95">
                  <c:v>1.4146174863387975</c:v>
                </c:pt>
                <c:pt idx="96">
                  <c:v>1.4295081967213112</c:v>
                </c:pt>
                <c:pt idx="97">
                  <c:v>1.4443989071038248</c:v>
                </c:pt>
                <c:pt idx="98">
                  <c:v>1.45</c:v>
                </c:pt>
                <c:pt idx="99">
                  <c:v>1.45</c:v>
                </c:pt>
                <c:pt idx="100">
                  <c:v>1.45</c:v>
                </c:pt>
              </c:numCache>
            </c:numRef>
          </c:val>
          <c:smooth val="0"/>
        </c:ser>
        <c:ser>
          <c:idx val="2"/>
          <c:order val="2"/>
          <c:tx>
            <c:v>VIN-max</c:v>
          </c:tx>
          <c:spPr>
            <a:ln>
              <a:solidFill>
                <a:srgbClr val="FF0000"/>
              </a:solidFill>
              <a:prstDash val="solid"/>
            </a:ln>
          </c:spPr>
          <c:marker>
            <c:symbol val="none"/>
          </c:marker>
          <c:val>
            <c:numRef>
              <c:f>'Calculations - Single'!$AJ$216:$AJ$316</c:f>
              <c:numCache>
                <c:formatCode>0.000</c:formatCode>
                <c:ptCount val="101"/>
                <c:pt idx="0">
                  <c:v>0.28999999999999998</c:v>
                </c:pt>
                <c:pt idx="1">
                  <c:v>0.28999999999999998</c:v>
                </c:pt>
                <c:pt idx="2">
                  <c:v>0.28999999999999998</c:v>
                </c:pt>
                <c:pt idx="3">
                  <c:v>0.28999999999999998</c:v>
                </c:pt>
                <c:pt idx="4">
                  <c:v>0.28999999999999998</c:v>
                </c:pt>
                <c:pt idx="5">
                  <c:v>0.28999999999999998</c:v>
                </c:pt>
                <c:pt idx="6">
                  <c:v>0.28999999999999998</c:v>
                </c:pt>
                <c:pt idx="7">
                  <c:v>0.28999999999999998</c:v>
                </c:pt>
                <c:pt idx="8">
                  <c:v>0.28999999999999998</c:v>
                </c:pt>
                <c:pt idx="9">
                  <c:v>0.28999999999999998</c:v>
                </c:pt>
                <c:pt idx="10">
                  <c:v>0.28999999999999998</c:v>
                </c:pt>
                <c:pt idx="11">
                  <c:v>0.28999999999999998</c:v>
                </c:pt>
                <c:pt idx="12">
                  <c:v>0.28999999999999998</c:v>
                </c:pt>
                <c:pt idx="13">
                  <c:v>0.29148633881244884</c:v>
                </c:pt>
                <c:pt idx="14">
                  <c:v>0.30248966924508347</c:v>
                </c:pt>
                <c:pt idx="15">
                  <c:v>0.31310655420433836</c:v>
                </c:pt>
                <c:pt idx="16">
                  <c:v>0.32337505867247796</c:v>
                </c:pt>
                <c:pt idx="17">
                  <c:v>0.33332738089923375</c:v>
                </c:pt>
                <c:pt idx="18">
                  <c:v>0.34299104528086027</c:v>
                </c:pt>
                <c:pt idx="19">
                  <c:v>0.35238980040371687</c:v>
                </c:pt>
                <c:pt idx="20">
                  <c:v>0.36154430670982179</c:v>
                </c:pt>
                <c:pt idx="21">
                  <c:v>0.37047267105685411</c:v>
                </c:pt>
                <c:pt idx="22">
                  <c:v>0.37919086788280421</c:v>
                </c:pt>
                <c:pt idx="23">
                  <c:v>0.38771307505864255</c:v>
                </c:pt>
                <c:pt idx="24">
                  <c:v>0.39605194464507154</c:v>
                </c:pt>
                <c:pt idx="25">
                  <c:v>0.40421882334059744</c:v>
                </c:pt>
                <c:pt idx="26">
                  <c:v>0.41222393359504422</c:v>
                </c:pt>
                <c:pt idx="27">
                  <c:v>0.42007652364097392</c:v>
                </c:pt>
                <c:pt idx="28">
                  <c:v>0.42778499272414877</c:v>
                </c:pt>
                <c:pt idx="29">
                  <c:v>0.43535699636702091</c:v>
                </c:pt>
                <c:pt idx="30">
                  <c:v>0.44279953542368194</c:v>
                </c:pt>
                <c:pt idx="31">
                  <c:v>0.45011903187617258</c:v>
                </c:pt>
                <c:pt idx="32">
                  <c:v>0.45732139370781366</c:v>
                </c:pt>
                <c:pt idx="33">
                  <c:v>0.46441207071799012</c:v>
                </c:pt>
                <c:pt idx="34">
                  <c:v>0.47139610277799893</c:v>
                </c:pt>
                <c:pt idx="35">
                  <c:v>0.47827816174272475</c:v>
                </c:pt>
                <c:pt idx="36">
                  <c:v>0.48506258800871693</c:v>
                </c:pt>
                <c:pt idx="37">
                  <c:v>0.49175342253148435</c:v>
                </c:pt>
                <c:pt idx="38">
                  <c:v>0.49835443497288434</c:v>
                </c:pt>
                <c:pt idx="39">
                  <c:v>0.50486914853539733</c:v>
                </c:pt>
                <c:pt idx="40">
                  <c:v>0.51130086194780799</c:v>
                </c:pt>
                <c:pt idx="41">
                  <c:v>0.51765266899175322</c:v>
                </c:pt>
                <c:pt idx="42">
                  <c:v>0.52392747589718947</c:v>
                </c:pt>
                <c:pt idx="43">
                  <c:v>0.53012801688433175</c:v>
                </c:pt>
                <c:pt idx="44">
                  <c:v>0.5362568680878862</c:v>
                </c:pt>
                <c:pt idx="45">
                  <c:v>0.54231646006473277</c:v>
                </c:pt>
                <c:pt idx="46">
                  <c:v>0.54830908905731002</c:v>
                </c:pt>
                <c:pt idx="47">
                  <c:v>0.55423692716073281</c:v>
                </c:pt>
                <c:pt idx="48">
                  <c:v>0.56010203152129856</c:v>
                </c:pt>
                <c:pt idx="49">
                  <c:v>0.56590635267683642</c:v>
                </c:pt>
                <c:pt idx="50">
                  <c:v>0.5716517421347671</c:v>
                </c:pt>
                <c:pt idx="51">
                  <c:v>0.57733995927133652</c:v>
                </c:pt>
                <c:pt idx="52">
                  <c:v>0.58297267762489768</c:v>
                </c:pt>
                <c:pt idx="53">
                  <c:v>0.58855149064704371</c:v>
                </c:pt>
                <c:pt idx="54">
                  <c:v>0.59407791696760737</c:v>
                </c:pt>
                <c:pt idx="55">
                  <c:v>0.59955340522282563</c:v>
                </c:pt>
                <c:pt idx="56">
                  <c:v>0.60497933849016694</c:v>
                </c:pt>
                <c:pt idx="57">
                  <c:v>0.61035703836829325</c:v>
                </c:pt>
                <c:pt idx="58">
                  <c:v>0.6156877687362553</c:v>
                </c:pt>
                <c:pt idx="59">
                  <c:v>0.62097273922221641</c:v>
                </c:pt>
                <c:pt idx="60">
                  <c:v>0.62621310840867672</c:v>
                </c:pt>
                <c:pt idx="61">
                  <c:v>0.63140998679825411</c:v>
                </c:pt>
                <c:pt idx="62">
                  <c:v>0.63656443956153075</c:v>
                </c:pt>
                <c:pt idx="63">
                  <c:v>0.64167748908622313</c:v>
                </c:pt>
                <c:pt idx="64">
                  <c:v>0.64675011734495591</c:v>
                </c:pt>
                <c:pt idx="65">
                  <c:v>0.65178326809717091</c:v>
                </c:pt>
                <c:pt idx="66">
                  <c:v>0.65677784893915447</c:v>
                </c:pt>
                <c:pt idx="67">
                  <c:v>0.66173473321479592</c:v>
                </c:pt>
                <c:pt idx="68">
                  <c:v>0.72923497267759552</c:v>
                </c:pt>
                <c:pt idx="69">
                  <c:v>0.73995901639344253</c:v>
                </c:pt>
                <c:pt idx="70">
                  <c:v>0.75068306010928953</c:v>
                </c:pt>
                <c:pt idx="71">
                  <c:v>0.76140710382513654</c:v>
                </c:pt>
                <c:pt idx="72">
                  <c:v>0.77213114754098344</c:v>
                </c:pt>
                <c:pt idx="73">
                  <c:v>0.78285519125683056</c:v>
                </c:pt>
                <c:pt idx="74">
                  <c:v>0.79357923497267757</c:v>
                </c:pt>
                <c:pt idx="75">
                  <c:v>0.80430327868852436</c:v>
                </c:pt>
                <c:pt idx="76">
                  <c:v>0.81502732240437148</c:v>
                </c:pt>
                <c:pt idx="77">
                  <c:v>0.82575136612021849</c:v>
                </c:pt>
                <c:pt idx="78">
                  <c:v>0.8364754098360655</c:v>
                </c:pt>
                <c:pt idx="79">
                  <c:v>0.8471994535519124</c:v>
                </c:pt>
                <c:pt idx="80">
                  <c:v>0.85792349726775941</c:v>
                </c:pt>
                <c:pt idx="81">
                  <c:v>0.86864754098360653</c:v>
                </c:pt>
                <c:pt idx="82">
                  <c:v>0.87937158469945331</c:v>
                </c:pt>
                <c:pt idx="83">
                  <c:v>0.89009562841530032</c:v>
                </c:pt>
                <c:pt idx="84">
                  <c:v>0.90081967213114755</c:v>
                </c:pt>
                <c:pt idx="85">
                  <c:v>0.91154371584699445</c:v>
                </c:pt>
                <c:pt idx="86">
                  <c:v>0.92226775956284146</c:v>
                </c:pt>
                <c:pt idx="87">
                  <c:v>0.93299180327868847</c:v>
                </c:pt>
                <c:pt idx="88">
                  <c:v>0.94371584699453537</c:v>
                </c:pt>
                <c:pt idx="89">
                  <c:v>0.95443989071038238</c:v>
                </c:pt>
                <c:pt idx="90">
                  <c:v>0.96516393442622961</c:v>
                </c:pt>
                <c:pt idx="91">
                  <c:v>0.97588797814207662</c:v>
                </c:pt>
                <c:pt idx="92">
                  <c:v>0.98661202185792352</c:v>
                </c:pt>
                <c:pt idx="93">
                  <c:v>0.99733606557377052</c:v>
                </c:pt>
                <c:pt idx="94">
                  <c:v>1.0080601092896173</c:v>
                </c:pt>
                <c:pt idx="95">
                  <c:v>1.0187841530054642</c:v>
                </c:pt>
                <c:pt idx="96">
                  <c:v>1.0295081967213113</c:v>
                </c:pt>
                <c:pt idx="97">
                  <c:v>1.0402322404371582</c:v>
                </c:pt>
                <c:pt idx="98">
                  <c:v>1.0509562841530053</c:v>
                </c:pt>
                <c:pt idx="99">
                  <c:v>1.0616803278688525</c:v>
                </c:pt>
                <c:pt idx="100">
                  <c:v>1.0724043715846994</c:v>
                </c:pt>
              </c:numCache>
            </c:numRef>
          </c:val>
          <c:smooth val="0"/>
        </c:ser>
        <c:dLbls>
          <c:showLegendKey val="0"/>
          <c:showVal val="0"/>
          <c:showCatName val="0"/>
          <c:showSerName val="0"/>
          <c:showPercent val="0"/>
          <c:showBubbleSize val="0"/>
        </c:dLbls>
        <c:marker val="1"/>
        <c:smooth val="0"/>
        <c:axId val="131228416"/>
        <c:axId val="131230336"/>
      </c:lineChart>
      <c:catAx>
        <c:axId val="131228416"/>
        <c:scaling>
          <c:orientation val="minMax"/>
        </c:scaling>
        <c:delete val="0"/>
        <c:axPos val="b"/>
        <c:majorGridlines>
          <c:spPr>
            <a:ln w="15875">
              <a:solidFill>
                <a:srgbClr val="969696"/>
              </a:solidFill>
              <a:prstDash val="sysDash"/>
            </a:ln>
          </c:spPr>
        </c:majorGridlines>
        <c:title>
          <c:tx>
            <c:rich>
              <a:bodyPr/>
              <a:lstStyle/>
              <a:p>
                <a:pPr>
                  <a:defRPr sz="1200" b="1" i="0" u="none" strike="noStrike" baseline="0">
                    <a:solidFill>
                      <a:schemeClr val="tx1"/>
                    </a:solidFill>
                    <a:latin typeface="Arial" pitchFamily="34" charset="0"/>
                    <a:ea typeface="Calibri"/>
                    <a:cs typeface="Arial" pitchFamily="34" charset="0"/>
                  </a:defRPr>
                </a:pPr>
                <a:r>
                  <a:rPr lang="en-US" sz="1200">
                    <a:solidFill>
                      <a:schemeClr val="tx1"/>
                    </a:solidFill>
                    <a:latin typeface="Arial" pitchFamily="34" charset="0"/>
                    <a:cs typeface="Arial" pitchFamily="34" charset="0"/>
                  </a:rPr>
                  <a:t>Load Current (mA)</a:t>
                </a:r>
              </a:p>
            </c:rich>
          </c:tx>
          <c:layout>
            <c:manualLayout>
              <c:xMode val="edge"/>
              <c:yMode val="edge"/>
              <c:x val="0.45424135936496307"/>
              <c:y val="0.9410669161053864"/>
            </c:manualLayout>
          </c:layout>
          <c:overlay val="0"/>
          <c:spPr>
            <a:noFill/>
            <a:ln w="25400">
              <a:noFill/>
            </a:ln>
          </c:spPr>
        </c:title>
        <c:numFmt formatCode="0" sourceLinked="1"/>
        <c:majorTickMark val="in"/>
        <c:minorTickMark val="in"/>
        <c:tickLblPos val="nextTo"/>
        <c:spPr>
          <a:ln w="3175">
            <a:solidFill>
              <a:schemeClr val="tx1"/>
            </a:solidFill>
            <a:prstDash val="solid"/>
          </a:ln>
        </c:spPr>
        <c:txPr>
          <a:bodyPr rot="0" vert="horz"/>
          <a:lstStyle/>
          <a:p>
            <a:pPr>
              <a:defRPr sz="1100" b="1" i="0" u="none" strike="noStrike" baseline="0">
                <a:solidFill>
                  <a:schemeClr val="tx1"/>
                </a:solidFill>
                <a:latin typeface="Arial" pitchFamily="34" charset="0"/>
                <a:ea typeface="Calibri"/>
                <a:cs typeface="Arial" pitchFamily="34" charset="0"/>
              </a:defRPr>
            </a:pPr>
            <a:endParaRPr lang="ko-KR"/>
          </a:p>
        </c:txPr>
        <c:crossAx val="131230336"/>
        <c:crosses val="autoZero"/>
        <c:auto val="1"/>
        <c:lblAlgn val="ctr"/>
        <c:lblOffset val="100"/>
        <c:tickLblSkip val="20"/>
        <c:tickMarkSkip val="10"/>
        <c:noMultiLvlLbl val="0"/>
      </c:catAx>
      <c:valAx>
        <c:axId val="131230336"/>
        <c:scaling>
          <c:orientation val="minMax"/>
          <c:max val="1.4"/>
          <c:min val="0"/>
        </c:scaling>
        <c:delete val="0"/>
        <c:axPos val="l"/>
        <c:majorGridlines>
          <c:spPr>
            <a:ln w="15875">
              <a:solidFill>
                <a:srgbClr val="808080"/>
              </a:solidFill>
              <a:prstDash val="solid"/>
            </a:ln>
          </c:spPr>
        </c:majorGridlines>
        <c:title>
          <c:tx>
            <c:rich>
              <a:bodyPr/>
              <a:lstStyle/>
              <a:p>
                <a:pPr>
                  <a:defRPr sz="1400" b="1" i="0" u="none" strike="noStrike" baseline="0">
                    <a:solidFill>
                      <a:schemeClr val="tx1"/>
                    </a:solidFill>
                    <a:latin typeface="Arial" pitchFamily="34" charset="0"/>
                    <a:ea typeface="Calibri"/>
                    <a:cs typeface="Arial" pitchFamily="34" charset="0"/>
                  </a:defRPr>
                </a:pPr>
                <a:r>
                  <a:rPr lang="en-US" sz="1200" b="1">
                    <a:solidFill>
                      <a:schemeClr val="tx1"/>
                    </a:solidFill>
                    <a:latin typeface="Arial" pitchFamily="34" charset="0"/>
                    <a:cs typeface="Arial" pitchFamily="34" charset="0"/>
                  </a:rPr>
                  <a:t>Peak</a:t>
                </a:r>
                <a:r>
                  <a:rPr lang="en-US" sz="1200" b="1" baseline="0">
                    <a:solidFill>
                      <a:schemeClr val="tx1"/>
                    </a:solidFill>
                    <a:latin typeface="Arial" pitchFamily="34" charset="0"/>
                    <a:cs typeface="Arial" pitchFamily="34" charset="0"/>
                  </a:rPr>
                  <a:t> Primary Current (A)</a:t>
                </a:r>
                <a:endParaRPr lang="en-US" sz="1200" b="1">
                  <a:solidFill>
                    <a:schemeClr val="tx1"/>
                  </a:solidFill>
                  <a:latin typeface="Arial" pitchFamily="34" charset="0"/>
                  <a:cs typeface="Arial" pitchFamily="34" charset="0"/>
                </a:endParaRPr>
              </a:p>
            </c:rich>
          </c:tx>
          <c:layout>
            <c:manualLayout>
              <c:xMode val="edge"/>
              <c:yMode val="edge"/>
              <c:x val="1.8892754684734177E-2"/>
              <c:y val="0.30303578260037478"/>
            </c:manualLayout>
          </c:layout>
          <c:overlay val="0"/>
          <c:spPr>
            <a:noFill/>
            <a:ln w="25400">
              <a:noFill/>
            </a:ln>
          </c:spPr>
        </c:title>
        <c:numFmt formatCode="#,##0.0" sourceLinked="0"/>
        <c:majorTickMark val="out"/>
        <c:minorTickMark val="in"/>
        <c:tickLblPos val="nextTo"/>
        <c:spPr>
          <a:ln w="3175">
            <a:solidFill>
              <a:srgbClr val="000000"/>
            </a:solidFill>
            <a:prstDash val="solid"/>
          </a:ln>
        </c:spPr>
        <c:txPr>
          <a:bodyPr rot="0" vert="horz"/>
          <a:lstStyle/>
          <a:p>
            <a:pPr>
              <a:defRPr sz="1100" b="1" i="0" u="none" strike="noStrike" baseline="0">
                <a:solidFill>
                  <a:schemeClr val="tx1"/>
                </a:solidFill>
                <a:latin typeface="Arial" pitchFamily="34" charset="0"/>
                <a:ea typeface="Calibri"/>
                <a:cs typeface="Arial" pitchFamily="34" charset="0"/>
              </a:defRPr>
            </a:pPr>
            <a:endParaRPr lang="ko-KR"/>
          </a:p>
        </c:txPr>
        <c:crossAx val="131228416"/>
        <c:crossesAt val="0"/>
        <c:crossBetween val="between"/>
      </c:valAx>
      <c:spPr>
        <a:solidFill>
          <a:srgbClr val="FFFFFF"/>
        </a:solidFill>
        <a:ln w="25400">
          <a:noFill/>
        </a:ln>
      </c:spPr>
    </c:plotArea>
    <c:legend>
      <c:legendPos val="t"/>
      <c:layout>
        <c:manualLayout>
          <c:xMode val="edge"/>
          <c:yMode val="edge"/>
          <c:x val="0.50279342989103104"/>
          <c:y val="1.6951025877806759E-2"/>
          <c:w val="0.44417947756530435"/>
          <c:h val="8.9795049320617604E-2"/>
        </c:manualLayout>
      </c:layout>
      <c:overlay val="0"/>
      <c:spPr>
        <a:solidFill>
          <a:srgbClr val="FFFFFF"/>
        </a:solidFill>
        <a:ln w="25400">
          <a:noFill/>
        </a:ln>
      </c:spPr>
      <c:txPr>
        <a:bodyPr/>
        <a:lstStyle/>
        <a:p>
          <a:pPr>
            <a:defRPr sz="1400" b="0" i="0" u="none" strike="noStrike" baseline="0">
              <a:solidFill>
                <a:srgbClr val="000000"/>
              </a:solidFill>
              <a:latin typeface="Arial" pitchFamily="34" charset="0"/>
              <a:ea typeface="Calibri"/>
              <a:cs typeface="Arial" pitchFamily="34" charset="0"/>
            </a:defRPr>
          </a:pPr>
          <a:endParaRPr lang="ko-KR"/>
        </a:p>
      </c:txPr>
    </c:legend>
    <c:plotVisOnly val="1"/>
    <c:dispBlanksAs val="gap"/>
    <c:showDLblsOverMax val="0"/>
  </c:chart>
  <c:spPr>
    <a:solidFill>
      <a:srgbClr val="FFFFFF"/>
    </a:solidFill>
    <a:ln w="9525">
      <a:solidFill>
        <a:srgbClr val="808080"/>
      </a:solidFill>
    </a:ln>
  </c:spPr>
  <c:txPr>
    <a:bodyPr/>
    <a:lstStyle/>
    <a:p>
      <a:pPr>
        <a:defRPr sz="850" b="0" i="0" u="none" strike="noStrike" baseline="0">
          <a:solidFill>
            <a:srgbClr val="000000"/>
          </a:solidFill>
          <a:latin typeface="Arial"/>
          <a:ea typeface="Arial"/>
          <a:cs typeface="Arial"/>
        </a:defRPr>
      </a:pPr>
      <a:endParaRPr lang="ko-KR"/>
    </a:p>
  </c:txPr>
  <c:printSettings>
    <c:headerFooter alignWithMargins="0"/>
    <c:pageMargins b="1" l="0.750000000000006" r="0.750000000000006" t="1" header="0.5" footer="0.5"/>
    <c:pageSetup paperSize="5"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ko-K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280746883383756E-2"/>
          <c:y val="0.12133523343001466"/>
          <c:w val="0.86047278973849184"/>
          <c:h val="0.7558980268938309"/>
        </c:manualLayout>
      </c:layout>
      <c:lineChart>
        <c:grouping val="standard"/>
        <c:varyColors val="0"/>
        <c:ser>
          <c:idx val="1"/>
          <c:order val="0"/>
          <c:tx>
            <c:v>VIN-min</c:v>
          </c:tx>
          <c:spPr>
            <a:ln>
              <a:solidFill>
                <a:srgbClr val="00B050"/>
              </a:solidFill>
              <a:prstDash val="sysDash"/>
            </a:ln>
          </c:spPr>
          <c:marker>
            <c:symbol val="none"/>
          </c:marker>
          <c:cat>
            <c:numRef>
              <c:f>'Calculations - Single'!$AM$5:$AM$105</c:f>
              <c:numCache>
                <c:formatCode>0</c:formatCode>
                <c:ptCount val="101"/>
                <c:pt idx="0">
                  <c:v>1.0000000000000002E-6</c:v>
                </c:pt>
                <c:pt idx="1">
                  <c:v>3</c:v>
                </c:pt>
                <c:pt idx="2">
                  <c:v>6</c:v>
                </c:pt>
                <c:pt idx="3">
                  <c:v>9</c:v>
                </c:pt>
                <c:pt idx="4">
                  <c:v>12</c:v>
                </c:pt>
                <c:pt idx="5">
                  <c:v>15</c:v>
                </c:pt>
                <c:pt idx="6">
                  <c:v>18</c:v>
                </c:pt>
                <c:pt idx="7">
                  <c:v>21</c:v>
                </c:pt>
                <c:pt idx="8">
                  <c:v>24</c:v>
                </c:pt>
                <c:pt idx="9">
                  <c:v>27</c:v>
                </c:pt>
                <c:pt idx="10">
                  <c:v>30</c:v>
                </c:pt>
                <c:pt idx="11">
                  <c:v>33</c:v>
                </c:pt>
                <c:pt idx="12">
                  <c:v>36</c:v>
                </c:pt>
                <c:pt idx="13">
                  <c:v>39</c:v>
                </c:pt>
                <c:pt idx="14">
                  <c:v>42</c:v>
                </c:pt>
                <c:pt idx="15">
                  <c:v>45</c:v>
                </c:pt>
                <c:pt idx="16">
                  <c:v>48</c:v>
                </c:pt>
                <c:pt idx="17">
                  <c:v>51.000000000000007</c:v>
                </c:pt>
                <c:pt idx="18">
                  <c:v>54</c:v>
                </c:pt>
                <c:pt idx="19">
                  <c:v>56.999999999999993</c:v>
                </c:pt>
                <c:pt idx="20">
                  <c:v>60</c:v>
                </c:pt>
                <c:pt idx="21">
                  <c:v>63</c:v>
                </c:pt>
                <c:pt idx="22">
                  <c:v>66</c:v>
                </c:pt>
                <c:pt idx="23">
                  <c:v>69</c:v>
                </c:pt>
                <c:pt idx="24">
                  <c:v>72</c:v>
                </c:pt>
                <c:pt idx="25">
                  <c:v>75</c:v>
                </c:pt>
                <c:pt idx="26">
                  <c:v>78</c:v>
                </c:pt>
                <c:pt idx="27">
                  <c:v>81</c:v>
                </c:pt>
                <c:pt idx="28">
                  <c:v>84</c:v>
                </c:pt>
                <c:pt idx="29">
                  <c:v>87</c:v>
                </c:pt>
                <c:pt idx="30">
                  <c:v>90</c:v>
                </c:pt>
                <c:pt idx="31">
                  <c:v>93</c:v>
                </c:pt>
                <c:pt idx="32">
                  <c:v>96</c:v>
                </c:pt>
                <c:pt idx="33">
                  <c:v>99</c:v>
                </c:pt>
                <c:pt idx="34">
                  <c:v>102.00000000000001</c:v>
                </c:pt>
                <c:pt idx="35">
                  <c:v>105</c:v>
                </c:pt>
                <c:pt idx="36">
                  <c:v>108</c:v>
                </c:pt>
                <c:pt idx="37">
                  <c:v>111</c:v>
                </c:pt>
                <c:pt idx="38">
                  <c:v>113.99999999999999</c:v>
                </c:pt>
                <c:pt idx="39">
                  <c:v>117</c:v>
                </c:pt>
                <c:pt idx="40">
                  <c:v>120</c:v>
                </c:pt>
                <c:pt idx="41">
                  <c:v>122.99999999999999</c:v>
                </c:pt>
                <c:pt idx="42">
                  <c:v>126</c:v>
                </c:pt>
                <c:pt idx="43">
                  <c:v>129</c:v>
                </c:pt>
                <c:pt idx="44">
                  <c:v>132</c:v>
                </c:pt>
                <c:pt idx="45">
                  <c:v>135</c:v>
                </c:pt>
                <c:pt idx="46">
                  <c:v>138</c:v>
                </c:pt>
                <c:pt idx="47">
                  <c:v>141</c:v>
                </c:pt>
                <c:pt idx="48">
                  <c:v>144</c:v>
                </c:pt>
                <c:pt idx="49">
                  <c:v>147</c:v>
                </c:pt>
                <c:pt idx="50">
                  <c:v>150</c:v>
                </c:pt>
                <c:pt idx="51">
                  <c:v>153</c:v>
                </c:pt>
                <c:pt idx="52">
                  <c:v>156</c:v>
                </c:pt>
                <c:pt idx="53">
                  <c:v>159</c:v>
                </c:pt>
                <c:pt idx="54">
                  <c:v>162</c:v>
                </c:pt>
                <c:pt idx="55">
                  <c:v>165</c:v>
                </c:pt>
                <c:pt idx="56">
                  <c:v>168</c:v>
                </c:pt>
                <c:pt idx="57">
                  <c:v>170.99999999999997</c:v>
                </c:pt>
                <c:pt idx="58">
                  <c:v>174</c:v>
                </c:pt>
                <c:pt idx="59">
                  <c:v>177</c:v>
                </c:pt>
                <c:pt idx="60">
                  <c:v>180</c:v>
                </c:pt>
                <c:pt idx="61">
                  <c:v>183</c:v>
                </c:pt>
                <c:pt idx="62">
                  <c:v>186</c:v>
                </c:pt>
                <c:pt idx="63">
                  <c:v>189</c:v>
                </c:pt>
                <c:pt idx="64">
                  <c:v>192</c:v>
                </c:pt>
                <c:pt idx="65">
                  <c:v>195</c:v>
                </c:pt>
                <c:pt idx="66">
                  <c:v>198</c:v>
                </c:pt>
                <c:pt idx="67">
                  <c:v>201</c:v>
                </c:pt>
                <c:pt idx="68">
                  <c:v>204.00000000000003</c:v>
                </c:pt>
                <c:pt idx="69">
                  <c:v>207</c:v>
                </c:pt>
                <c:pt idx="70">
                  <c:v>210</c:v>
                </c:pt>
                <c:pt idx="71">
                  <c:v>213</c:v>
                </c:pt>
                <c:pt idx="72">
                  <c:v>216</c:v>
                </c:pt>
                <c:pt idx="73">
                  <c:v>219</c:v>
                </c:pt>
                <c:pt idx="74">
                  <c:v>222</c:v>
                </c:pt>
                <c:pt idx="75">
                  <c:v>224.99999999999997</c:v>
                </c:pt>
                <c:pt idx="76">
                  <c:v>227.99999999999997</c:v>
                </c:pt>
                <c:pt idx="77">
                  <c:v>230.99999999999997</c:v>
                </c:pt>
                <c:pt idx="78">
                  <c:v>234</c:v>
                </c:pt>
                <c:pt idx="79">
                  <c:v>237</c:v>
                </c:pt>
                <c:pt idx="80">
                  <c:v>240</c:v>
                </c:pt>
                <c:pt idx="81">
                  <c:v>243</c:v>
                </c:pt>
                <c:pt idx="82">
                  <c:v>245.99999999999997</c:v>
                </c:pt>
                <c:pt idx="83">
                  <c:v>248.99999999999997</c:v>
                </c:pt>
                <c:pt idx="84">
                  <c:v>252</c:v>
                </c:pt>
                <c:pt idx="85">
                  <c:v>255</c:v>
                </c:pt>
                <c:pt idx="86">
                  <c:v>258</c:v>
                </c:pt>
                <c:pt idx="87">
                  <c:v>261</c:v>
                </c:pt>
                <c:pt idx="88">
                  <c:v>264</c:v>
                </c:pt>
                <c:pt idx="89">
                  <c:v>267</c:v>
                </c:pt>
                <c:pt idx="90">
                  <c:v>270</c:v>
                </c:pt>
                <c:pt idx="91">
                  <c:v>273</c:v>
                </c:pt>
                <c:pt idx="92">
                  <c:v>276</c:v>
                </c:pt>
                <c:pt idx="93">
                  <c:v>279</c:v>
                </c:pt>
                <c:pt idx="94">
                  <c:v>282</c:v>
                </c:pt>
                <c:pt idx="95">
                  <c:v>285</c:v>
                </c:pt>
                <c:pt idx="96">
                  <c:v>288</c:v>
                </c:pt>
                <c:pt idx="97">
                  <c:v>291</c:v>
                </c:pt>
                <c:pt idx="98">
                  <c:v>294</c:v>
                </c:pt>
                <c:pt idx="99">
                  <c:v>297</c:v>
                </c:pt>
                <c:pt idx="100">
                  <c:v>300</c:v>
                </c:pt>
              </c:numCache>
            </c:numRef>
          </c:cat>
          <c:val>
            <c:numRef>
              <c:f>'Calculations - Single'!$AN$110:$AN$210</c:f>
              <c:numCache>
                <c:formatCode>0.0</c:formatCode>
                <c:ptCount val="101"/>
                <c:pt idx="0">
                  <c:v>10</c:v>
                </c:pt>
                <c:pt idx="1">
                  <c:v>27.199762187871581</c:v>
                </c:pt>
                <c:pt idx="2">
                  <c:v>54.399524375743162</c:v>
                </c:pt>
                <c:pt idx="3">
                  <c:v>81.599286563614726</c:v>
                </c:pt>
                <c:pt idx="4">
                  <c:v>108.79904875148632</c:v>
                </c:pt>
                <c:pt idx="5">
                  <c:v>135.9988109393579</c:v>
                </c:pt>
                <c:pt idx="6">
                  <c:v>163.19857312722945</c:v>
                </c:pt>
                <c:pt idx="7">
                  <c:v>190.39833531510109</c:v>
                </c:pt>
                <c:pt idx="8">
                  <c:v>217.59809750297265</c:v>
                </c:pt>
                <c:pt idx="9">
                  <c:v>244.79785969084423</c:v>
                </c:pt>
                <c:pt idx="10">
                  <c:v>271.99762187871579</c:v>
                </c:pt>
                <c:pt idx="11">
                  <c:v>299.1973840665874</c:v>
                </c:pt>
                <c:pt idx="12">
                  <c:v>326.3971462544589</c:v>
                </c:pt>
                <c:pt idx="13">
                  <c:v>350</c:v>
                </c:pt>
                <c:pt idx="14">
                  <c:v>350</c:v>
                </c:pt>
                <c:pt idx="15">
                  <c:v>350</c:v>
                </c:pt>
                <c:pt idx="16">
                  <c:v>350</c:v>
                </c:pt>
                <c:pt idx="17">
                  <c:v>338.50635317881722</c:v>
                </c:pt>
                <c:pt idx="18">
                  <c:v>319.70044466888299</c:v>
                </c:pt>
                <c:pt idx="19">
                  <c:v>302.87410547578384</c:v>
                </c:pt>
                <c:pt idx="20">
                  <c:v>287.73040020199466</c:v>
                </c:pt>
                <c:pt idx="21">
                  <c:v>274.02895257332824</c:v>
                </c:pt>
                <c:pt idx="22">
                  <c:v>261.57309109272239</c:v>
                </c:pt>
                <c:pt idx="23">
                  <c:v>250.2003480017344</c:v>
                </c:pt>
                <c:pt idx="24">
                  <c:v>239.77533350166223</c:v>
                </c:pt>
                <c:pt idx="25">
                  <c:v>230.18432016159571</c:v>
                </c:pt>
                <c:pt idx="26">
                  <c:v>221.33107707845744</c:v>
                </c:pt>
                <c:pt idx="27">
                  <c:v>213.1336297792553</c:v>
                </c:pt>
                <c:pt idx="28">
                  <c:v>205.52171442999617</c:v>
                </c:pt>
                <c:pt idx="29">
                  <c:v>198.4347587599963</c:v>
                </c:pt>
                <c:pt idx="30">
                  <c:v>191.82026680132978</c:v>
                </c:pt>
                <c:pt idx="31">
                  <c:v>185.63251625935143</c:v>
                </c:pt>
                <c:pt idx="32">
                  <c:v>179.83150012624668</c:v>
                </c:pt>
                <c:pt idx="33">
                  <c:v>174.38206072848158</c:v>
                </c:pt>
                <c:pt idx="34">
                  <c:v>169.25317658940861</c:v>
                </c:pt>
                <c:pt idx="35">
                  <c:v>164.41737154399695</c:v>
                </c:pt>
                <c:pt idx="36">
                  <c:v>159.8502223344415</c:v>
                </c:pt>
                <c:pt idx="37">
                  <c:v>155.52994605513223</c:v>
                </c:pt>
                <c:pt idx="38">
                  <c:v>151.43705273789192</c:v>
                </c:pt>
                <c:pt idx="39">
                  <c:v>147.5540513856383</c:v>
                </c:pt>
                <c:pt idx="40">
                  <c:v>143.86520010099733</c:v>
                </c:pt>
                <c:pt idx="41">
                  <c:v>140.35629278146081</c:v>
                </c:pt>
                <c:pt idx="42">
                  <c:v>137.01447628666412</c:v>
                </c:pt>
                <c:pt idx="43">
                  <c:v>133.82809311720678</c:v>
                </c:pt>
                <c:pt idx="44">
                  <c:v>130.7865455463612</c:v>
                </c:pt>
                <c:pt idx="45">
                  <c:v>127.88017786755316</c:v>
                </c:pt>
                <c:pt idx="46">
                  <c:v>125.1001740008672</c:v>
                </c:pt>
                <c:pt idx="47">
                  <c:v>122.43846817106156</c:v>
                </c:pt>
                <c:pt idx="48">
                  <c:v>119.88766675083112</c:v>
                </c:pt>
                <c:pt idx="49">
                  <c:v>117.44097967428353</c:v>
                </c:pt>
                <c:pt idx="50">
                  <c:v>115.09216008079785</c:v>
                </c:pt>
                <c:pt idx="51">
                  <c:v>112.83545105960575</c:v>
                </c:pt>
                <c:pt idx="52">
                  <c:v>110.66553853922872</c:v>
                </c:pt>
                <c:pt idx="53">
                  <c:v>108.57750951018667</c:v>
                </c:pt>
                <c:pt idx="54">
                  <c:v>106.56681488962765</c:v>
                </c:pt>
                <c:pt idx="55">
                  <c:v>104.62923643708898</c:v>
                </c:pt>
                <c:pt idx="56">
                  <c:v>102.76085721499808</c:v>
                </c:pt>
                <c:pt idx="57">
                  <c:v>100.95803515859461</c:v>
                </c:pt>
                <c:pt idx="58">
                  <c:v>99.21737937999815</c:v>
                </c:pt>
                <c:pt idx="59">
                  <c:v>97.535728882032103</c:v>
                </c:pt>
                <c:pt idx="60">
                  <c:v>95.91013340066489</c:v>
                </c:pt>
                <c:pt idx="61">
                  <c:v>94.337836131801524</c:v>
                </c:pt>
                <c:pt idx="62">
                  <c:v>92.816258129675717</c:v>
                </c:pt>
                <c:pt idx="63">
                  <c:v>91.342984191109409</c:v>
                </c:pt>
                <c:pt idx="64">
                  <c:v>89.91575006312334</c:v>
                </c:pt>
                <c:pt idx="65">
                  <c:v>88.532430831382968</c:v>
                </c:pt>
                <c:pt idx="66">
                  <c:v>87.191030364240788</c:v>
                </c:pt>
                <c:pt idx="67">
                  <c:v>85.889671702087952</c:v>
                </c:pt>
                <c:pt idx="68">
                  <c:v>84.626588294704305</c:v>
                </c:pt>
                <c:pt idx="69">
                  <c:v>83.400116000578166</c:v>
                </c:pt>
                <c:pt idx="70">
                  <c:v>82.489426667496929</c:v>
                </c:pt>
                <c:pt idx="71">
                  <c:v>81.957080926472344</c:v>
                </c:pt>
                <c:pt idx="72">
                  <c:v>81.425275140690644</c:v>
                </c:pt>
                <c:pt idx="73">
                  <c:v>80.894018845705986</c:v>
                </c:pt>
                <c:pt idx="74">
                  <c:v>80.363321780727333</c:v>
                </c:pt>
                <c:pt idx="75">
                  <c:v>79.83319389335422</c:v>
                </c:pt>
                <c:pt idx="76">
                  <c:v>79.303645344415642</c:v>
                </c:pt>
                <c:pt idx="77">
                  <c:v>78.774686512912993</c:v>
                </c:pt>
                <c:pt idx="78">
                  <c:v>78.246328001068349</c:v>
                </c:pt>
                <c:pt idx="79">
                  <c:v>77.718580639478617</c:v>
                </c:pt>
                <c:pt idx="80">
                  <c:v>77.191455492376733</c:v>
                </c:pt>
                <c:pt idx="81">
                  <c:v>76.664963863000196</c:v>
                </c:pt>
                <c:pt idx="82">
                  <c:v>76.139117299067806</c:v>
                </c:pt>
                <c:pt idx="83">
                  <c:v>75.61392759836454</c:v>
                </c:pt>
                <c:pt idx="84">
                  <c:v>75.08940681443508</c:v>
                </c:pt>
                <c:pt idx="85">
                  <c:v>74.565567262385912</c:v>
                </c:pt>
                <c:pt idx="86">
                  <c:v>74.042421524795429</c:v>
                </c:pt>
                <c:pt idx="87">
                  <c:v>73.519982457731942</c:v>
                </c:pt>
                <c:pt idx="88">
                  <c:v>72.998263196878838</c:v>
                </c:pt>
                <c:pt idx="89">
                  <c:v>72.477277163765521</c:v>
                </c:pt>
                <c:pt idx="90">
                  <c:v>71.957038072103273</c:v>
                </c:pt>
                <c:pt idx="91">
                  <c:v>71.437559934224183</c:v>
                </c:pt>
                <c:pt idx="92">
                  <c:v>70.918857067621147</c:v>
                </c:pt>
                <c:pt idx="93">
                  <c:v>70.40094410158666</c:v>
                </c:pt>
                <c:pt idx="94">
                  <c:v>69.883835983947549</c:v>
                </c:pt>
                <c:pt idx="95">
                  <c:v>69.367547987892564</c:v>
                </c:pt>
                <c:pt idx="96">
                  <c:v>68.852095718888989</c:v>
                </c:pt>
                <c:pt idx="97">
                  <c:v>68.337495121684157</c:v>
                </c:pt>
                <c:pt idx="98">
                  <c:v>67.823762487387114</c:v>
                </c:pt>
                <c:pt idx="99">
                  <c:v>67.310914460625099</c:v>
                </c:pt>
                <c:pt idx="100">
                  <c:v>66.798968046768749</c:v>
                </c:pt>
              </c:numCache>
            </c:numRef>
          </c:val>
          <c:smooth val="0"/>
        </c:ser>
        <c:ser>
          <c:idx val="0"/>
          <c:order val="1"/>
          <c:tx>
            <c:v>VIN-nom</c:v>
          </c:tx>
          <c:spPr>
            <a:ln w="28575">
              <a:solidFill>
                <a:srgbClr val="FF0000"/>
              </a:solidFill>
              <a:prstDash val="lgDash"/>
            </a:ln>
          </c:spPr>
          <c:marker>
            <c:symbol val="none"/>
          </c:marker>
          <c:cat>
            <c:numRef>
              <c:f>'Calculations - Single'!$AM$5:$AM$105</c:f>
              <c:numCache>
                <c:formatCode>0</c:formatCode>
                <c:ptCount val="101"/>
                <c:pt idx="0">
                  <c:v>1.0000000000000002E-6</c:v>
                </c:pt>
                <c:pt idx="1">
                  <c:v>3</c:v>
                </c:pt>
                <c:pt idx="2">
                  <c:v>6</c:v>
                </c:pt>
                <c:pt idx="3">
                  <c:v>9</c:v>
                </c:pt>
                <c:pt idx="4">
                  <c:v>12</c:v>
                </c:pt>
                <c:pt idx="5">
                  <c:v>15</c:v>
                </c:pt>
                <c:pt idx="6">
                  <c:v>18</c:v>
                </c:pt>
                <c:pt idx="7">
                  <c:v>21</c:v>
                </c:pt>
                <c:pt idx="8">
                  <c:v>24</c:v>
                </c:pt>
                <c:pt idx="9">
                  <c:v>27</c:v>
                </c:pt>
                <c:pt idx="10">
                  <c:v>30</c:v>
                </c:pt>
                <c:pt idx="11">
                  <c:v>33</c:v>
                </c:pt>
                <c:pt idx="12">
                  <c:v>36</c:v>
                </c:pt>
                <c:pt idx="13">
                  <c:v>39</c:v>
                </c:pt>
                <c:pt idx="14">
                  <c:v>42</c:v>
                </c:pt>
                <c:pt idx="15">
                  <c:v>45</c:v>
                </c:pt>
                <c:pt idx="16">
                  <c:v>48</c:v>
                </c:pt>
                <c:pt idx="17">
                  <c:v>51.000000000000007</c:v>
                </c:pt>
                <c:pt idx="18">
                  <c:v>54</c:v>
                </c:pt>
                <c:pt idx="19">
                  <c:v>56.999999999999993</c:v>
                </c:pt>
                <c:pt idx="20">
                  <c:v>60</c:v>
                </c:pt>
                <c:pt idx="21">
                  <c:v>63</c:v>
                </c:pt>
                <c:pt idx="22">
                  <c:v>66</c:v>
                </c:pt>
                <c:pt idx="23">
                  <c:v>69</c:v>
                </c:pt>
                <c:pt idx="24">
                  <c:v>72</c:v>
                </c:pt>
                <c:pt idx="25">
                  <c:v>75</c:v>
                </c:pt>
                <c:pt idx="26">
                  <c:v>78</c:v>
                </c:pt>
                <c:pt idx="27">
                  <c:v>81</c:v>
                </c:pt>
                <c:pt idx="28">
                  <c:v>84</c:v>
                </c:pt>
                <c:pt idx="29">
                  <c:v>87</c:v>
                </c:pt>
                <c:pt idx="30">
                  <c:v>90</c:v>
                </c:pt>
                <c:pt idx="31">
                  <c:v>93</c:v>
                </c:pt>
                <c:pt idx="32">
                  <c:v>96</c:v>
                </c:pt>
                <c:pt idx="33">
                  <c:v>99</c:v>
                </c:pt>
                <c:pt idx="34">
                  <c:v>102.00000000000001</c:v>
                </c:pt>
                <c:pt idx="35">
                  <c:v>105</c:v>
                </c:pt>
                <c:pt idx="36">
                  <c:v>108</c:v>
                </c:pt>
                <c:pt idx="37">
                  <c:v>111</c:v>
                </c:pt>
                <c:pt idx="38">
                  <c:v>113.99999999999999</c:v>
                </c:pt>
                <c:pt idx="39">
                  <c:v>117</c:v>
                </c:pt>
                <c:pt idx="40">
                  <c:v>120</c:v>
                </c:pt>
                <c:pt idx="41">
                  <c:v>122.99999999999999</c:v>
                </c:pt>
                <c:pt idx="42">
                  <c:v>126</c:v>
                </c:pt>
                <c:pt idx="43">
                  <c:v>129</c:v>
                </c:pt>
                <c:pt idx="44">
                  <c:v>132</c:v>
                </c:pt>
                <c:pt idx="45">
                  <c:v>135</c:v>
                </c:pt>
                <c:pt idx="46">
                  <c:v>138</c:v>
                </c:pt>
                <c:pt idx="47">
                  <c:v>141</c:v>
                </c:pt>
                <c:pt idx="48">
                  <c:v>144</c:v>
                </c:pt>
                <c:pt idx="49">
                  <c:v>147</c:v>
                </c:pt>
                <c:pt idx="50">
                  <c:v>150</c:v>
                </c:pt>
                <c:pt idx="51">
                  <c:v>153</c:v>
                </c:pt>
                <c:pt idx="52">
                  <c:v>156</c:v>
                </c:pt>
                <c:pt idx="53">
                  <c:v>159</c:v>
                </c:pt>
                <c:pt idx="54">
                  <c:v>162</c:v>
                </c:pt>
                <c:pt idx="55">
                  <c:v>165</c:v>
                </c:pt>
                <c:pt idx="56">
                  <c:v>168</c:v>
                </c:pt>
                <c:pt idx="57">
                  <c:v>170.99999999999997</c:v>
                </c:pt>
                <c:pt idx="58">
                  <c:v>174</c:v>
                </c:pt>
                <c:pt idx="59">
                  <c:v>177</c:v>
                </c:pt>
                <c:pt idx="60">
                  <c:v>180</c:v>
                </c:pt>
                <c:pt idx="61">
                  <c:v>183</c:v>
                </c:pt>
                <c:pt idx="62">
                  <c:v>186</c:v>
                </c:pt>
                <c:pt idx="63">
                  <c:v>189</c:v>
                </c:pt>
                <c:pt idx="64">
                  <c:v>192</c:v>
                </c:pt>
                <c:pt idx="65">
                  <c:v>195</c:v>
                </c:pt>
                <c:pt idx="66">
                  <c:v>198</c:v>
                </c:pt>
                <c:pt idx="67">
                  <c:v>201</c:v>
                </c:pt>
                <c:pt idx="68">
                  <c:v>204.00000000000003</c:v>
                </c:pt>
                <c:pt idx="69">
                  <c:v>207</c:v>
                </c:pt>
                <c:pt idx="70">
                  <c:v>210</c:v>
                </c:pt>
                <c:pt idx="71">
                  <c:v>213</c:v>
                </c:pt>
                <c:pt idx="72">
                  <c:v>216</c:v>
                </c:pt>
                <c:pt idx="73">
                  <c:v>219</c:v>
                </c:pt>
                <c:pt idx="74">
                  <c:v>222</c:v>
                </c:pt>
                <c:pt idx="75">
                  <c:v>224.99999999999997</c:v>
                </c:pt>
                <c:pt idx="76">
                  <c:v>227.99999999999997</c:v>
                </c:pt>
                <c:pt idx="77">
                  <c:v>230.99999999999997</c:v>
                </c:pt>
                <c:pt idx="78">
                  <c:v>234</c:v>
                </c:pt>
                <c:pt idx="79">
                  <c:v>237</c:v>
                </c:pt>
                <c:pt idx="80">
                  <c:v>240</c:v>
                </c:pt>
                <c:pt idx="81">
                  <c:v>243</c:v>
                </c:pt>
                <c:pt idx="82">
                  <c:v>245.99999999999997</c:v>
                </c:pt>
                <c:pt idx="83">
                  <c:v>248.99999999999997</c:v>
                </c:pt>
                <c:pt idx="84">
                  <c:v>252</c:v>
                </c:pt>
                <c:pt idx="85">
                  <c:v>255</c:v>
                </c:pt>
                <c:pt idx="86">
                  <c:v>258</c:v>
                </c:pt>
                <c:pt idx="87">
                  <c:v>261</c:v>
                </c:pt>
                <c:pt idx="88">
                  <c:v>264</c:v>
                </c:pt>
                <c:pt idx="89">
                  <c:v>267</c:v>
                </c:pt>
                <c:pt idx="90">
                  <c:v>270</c:v>
                </c:pt>
                <c:pt idx="91">
                  <c:v>273</c:v>
                </c:pt>
                <c:pt idx="92">
                  <c:v>276</c:v>
                </c:pt>
                <c:pt idx="93">
                  <c:v>279</c:v>
                </c:pt>
                <c:pt idx="94">
                  <c:v>282</c:v>
                </c:pt>
                <c:pt idx="95">
                  <c:v>285</c:v>
                </c:pt>
                <c:pt idx="96">
                  <c:v>288</c:v>
                </c:pt>
                <c:pt idx="97">
                  <c:v>291</c:v>
                </c:pt>
                <c:pt idx="98">
                  <c:v>294</c:v>
                </c:pt>
                <c:pt idx="99">
                  <c:v>297</c:v>
                </c:pt>
                <c:pt idx="100">
                  <c:v>300</c:v>
                </c:pt>
              </c:numCache>
            </c:numRef>
          </c:cat>
          <c:val>
            <c:numRef>
              <c:f>'Calculations - Single'!$AN$5:$AN$105</c:f>
              <c:numCache>
                <c:formatCode>0.0</c:formatCode>
                <c:ptCount val="101"/>
                <c:pt idx="0">
                  <c:v>10</c:v>
                </c:pt>
                <c:pt idx="1">
                  <c:v>27.199762187871581</c:v>
                </c:pt>
                <c:pt idx="2">
                  <c:v>54.399524375743162</c:v>
                </c:pt>
                <c:pt idx="3">
                  <c:v>81.599286563614726</c:v>
                </c:pt>
                <c:pt idx="4">
                  <c:v>108.79904875148632</c:v>
                </c:pt>
                <c:pt idx="5">
                  <c:v>135.9988109393579</c:v>
                </c:pt>
                <c:pt idx="6">
                  <c:v>163.19857312722945</c:v>
                </c:pt>
                <c:pt idx="7">
                  <c:v>190.39833531510109</c:v>
                </c:pt>
                <c:pt idx="8">
                  <c:v>217.59809750297265</c:v>
                </c:pt>
                <c:pt idx="9">
                  <c:v>244.79785969084423</c:v>
                </c:pt>
                <c:pt idx="10">
                  <c:v>271.99762187871579</c:v>
                </c:pt>
                <c:pt idx="11">
                  <c:v>299.1973840665874</c:v>
                </c:pt>
                <c:pt idx="12">
                  <c:v>326.3971462544589</c:v>
                </c:pt>
                <c:pt idx="13">
                  <c:v>350</c:v>
                </c:pt>
                <c:pt idx="14">
                  <c:v>350</c:v>
                </c:pt>
                <c:pt idx="15">
                  <c:v>350</c:v>
                </c:pt>
                <c:pt idx="16">
                  <c:v>350</c:v>
                </c:pt>
                <c:pt idx="17">
                  <c:v>350</c:v>
                </c:pt>
                <c:pt idx="18">
                  <c:v>350</c:v>
                </c:pt>
                <c:pt idx="19">
                  <c:v>350</c:v>
                </c:pt>
                <c:pt idx="20">
                  <c:v>350</c:v>
                </c:pt>
                <c:pt idx="21">
                  <c:v>350</c:v>
                </c:pt>
                <c:pt idx="22">
                  <c:v>350</c:v>
                </c:pt>
                <c:pt idx="23">
                  <c:v>350</c:v>
                </c:pt>
                <c:pt idx="24">
                  <c:v>350</c:v>
                </c:pt>
                <c:pt idx="25">
                  <c:v>350</c:v>
                </c:pt>
                <c:pt idx="26">
                  <c:v>350</c:v>
                </c:pt>
                <c:pt idx="27">
                  <c:v>350</c:v>
                </c:pt>
                <c:pt idx="28">
                  <c:v>350</c:v>
                </c:pt>
                <c:pt idx="29">
                  <c:v>350</c:v>
                </c:pt>
                <c:pt idx="30">
                  <c:v>350</c:v>
                </c:pt>
                <c:pt idx="31">
                  <c:v>350</c:v>
                </c:pt>
                <c:pt idx="32">
                  <c:v>350</c:v>
                </c:pt>
                <c:pt idx="33">
                  <c:v>341.66086417580397</c:v>
                </c:pt>
                <c:pt idx="34">
                  <c:v>331.61201522945674</c:v>
                </c:pt>
                <c:pt idx="35">
                  <c:v>322.13738622290089</c:v>
                </c:pt>
                <c:pt idx="36">
                  <c:v>313.18912549448709</c:v>
                </c:pt>
                <c:pt idx="37">
                  <c:v>304.72455453517648</c:v>
                </c:pt>
                <c:pt idx="38">
                  <c:v>296.70548731056664</c:v>
                </c:pt>
                <c:pt idx="39">
                  <c:v>289.09765430260342</c:v>
                </c:pt>
                <c:pt idx="40">
                  <c:v>281.87021294503836</c:v>
                </c:pt>
                <c:pt idx="41">
                  <c:v>274.9953297024764</c:v>
                </c:pt>
                <c:pt idx="42">
                  <c:v>268.44782185241741</c:v>
                </c:pt>
                <c:pt idx="43">
                  <c:v>262.20484925119843</c:v>
                </c:pt>
                <c:pt idx="44">
                  <c:v>256.24564813185299</c:v>
                </c:pt>
                <c:pt idx="45">
                  <c:v>250.55130039558961</c:v>
                </c:pt>
                <c:pt idx="46">
                  <c:v>245.10453299568547</c:v>
                </c:pt>
                <c:pt idx="47">
                  <c:v>239.88954293194749</c:v>
                </c:pt>
                <c:pt idx="48">
                  <c:v>234.89184412086527</c:v>
                </c:pt>
                <c:pt idx="49">
                  <c:v>230.09813301635779</c:v>
                </c:pt>
                <c:pt idx="50">
                  <c:v>225.49617035603063</c:v>
                </c:pt>
                <c:pt idx="51">
                  <c:v>221.07467681963789</c:v>
                </c:pt>
                <c:pt idx="52">
                  <c:v>216.82324072695255</c:v>
                </c:pt>
                <c:pt idx="53">
                  <c:v>212.73223618493455</c:v>
                </c:pt>
                <c:pt idx="54">
                  <c:v>208.79275032965796</c:v>
                </c:pt>
                <c:pt idx="55">
                  <c:v>204.99651850548236</c:v>
                </c:pt>
                <c:pt idx="56">
                  <c:v>201.33586638931305</c:v>
                </c:pt>
                <c:pt idx="57">
                  <c:v>197.80365820704444</c:v>
                </c:pt>
                <c:pt idx="58">
                  <c:v>194.39325030692297</c:v>
                </c:pt>
                <c:pt idx="59">
                  <c:v>191.09844945426326</c:v>
                </c:pt>
                <c:pt idx="60">
                  <c:v>187.91347529669218</c:v>
                </c:pt>
                <c:pt idx="61">
                  <c:v>184.83292652133659</c:v>
                </c:pt>
                <c:pt idx="62">
                  <c:v>181.85175028712149</c:v>
                </c:pt>
                <c:pt idx="63">
                  <c:v>178.96521456827827</c:v>
                </c:pt>
                <c:pt idx="64">
                  <c:v>176.16888309064893</c:v>
                </c:pt>
                <c:pt idx="65">
                  <c:v>173.45859258156204</c:v>
                </c:pt>
                <c:pt idx="66">
                  <c:v>170.83043208790198</c:v>
                </c:pt>
                <c:pt idx="67">
                  <c:v>168.28072414629153</c:v>
                </c:pt>
                <c:pt idx="68">
                  <c:v>165.80600761472837</c:v>
                </c:pt>
                <c:pt idx="69">
                  <c:v>163.40302199712366</c:v>
                </c:pt>
                <c:pt idx="70">
                  <c:v>161.06869311145044</c:v>
                </c:pt>
                <c:pt idx="71">
                  <c:v>158.80011996903565</c:v>
                </c:pt>
                <c:pt idx="72">
                  <c:v>156.59456274724354</c:v>
                </c:pt>
                <c:pt idx="73">
                  <c:v>154.44943175070594</c:v>
                </c:pt>
                <c:pt idx="74">
                  <c:v>152.36227726758824</c:v>
                </c:pt>
                <c:pt idx="75">
                  <c:v>150.33078023735376</c:v>
                </c:pt>
                <c:pt idx="76">
                  <c:v>148.35274365528332</c:v>
                </c:pt>
                <c:pt idx="77">
                  <c:v>146.42608464677315</c:v>
                </c:pt>
                <c:pt idx="78">
                  <c:v>144.54882715130171</c:v>
                </c:pt>
                <c:pt idx="79">
                  <c:v>142.71909516204471</c:v>
                </c:pt>
                <c:pt idx="80">
                  <c:v>140.93510647251918</c:v>
                </c:pt>
                <c:pt idx="81">
                  <c:v>139.19516688643864</c:v>
                </c:pt>
                <c:pt idx="82">
                  <c:v>137.4976648512382</c:v>
                </c:pt>
                <c:pt idx="83">
                  <c:v>135.84106647953655</c:v>
                </c:pt>
                <c:pt idx="84">
                  <c:v>134.2239109262087</c:v>
                </c:pt>
                <c:pt idx="85">
                  <c:v>132.64480609178273</c:v>
                </c:pt>
                <c:pt idx="86">
                  <c:v>131.10242462559921</c:v>
                </c:pt>
                <c:pt idx="87">
                  <c:v>129.59550020461532</c:v>
                </c:pt>
                <c:pt idx="88">
                  <c:v>128.12282406592649</c:v>
                </c:pt>
                <c:pt idx="89">
                  <c:v>126.68324177305091</c:v>
                </c:pt>
                <c:pt idx="90">
                  <c:v>125.2756501977948</c:v>
                </c:pt>
                <c:pt idx="91">
                  <c:v>123.89899470111574</c:v>
                </c:pt>
                <c:pt idx="92">
                  <c:v>122.55226649784274</c:v>
                </c:pt>
                <c:pt idx="93">
                  <c:v>121.2345001914143</c:v>
                </c:pt>
                <c:pt idx="94">
                  <c:v>119.94477146597374</c:v>
                </c:pt>
                <c:pt idx="95">
                  <c:v>118.68219492422669</c:v>
                </c:pt>
                <c:pt idx="96">
                  <c:v>117.44592206043264</c:v>
                </c:pt>
                <c:pt idx="97">
                  <c:v>116.23513935877868</c:v>
                </c:pt>
                <c:pt idx="98">
                  <c:v>115.21949979858776</c:v>
                </c:pt>
                <c:pt idx="99">
                  <c:v>114.31198858023114</c:v>
                </c:pt>
                <c:pt idx="100">
                  <c:v>113.40546312237386</c:v>
                </c:pt>
              </c:numCache>
            </c:numRef>
          </c:val>
          <c:smooth val="0"/>
        </c:ser>
        <c:ser>
          <c:idx val="2"/>
          <c:order val="2"/>
          <c:tx>
            <c:v>VIN-max</c:v>
          </c:tx>
          <c:spPr>
            <a:ln>
              <a:solidFill>
                <a:srgbClr val="0000FF"/>
              </a:solidFill>
              <a:prstDash val="solid"/>
            </a:ln>
          </c:spPr>
          <c:marker>
            <c:symbol val="none"/>
          </c:marker>
          <c:cat>
            <c:numRef>
              <c:f>'Calculations - Single'!$AM$5:$AM$105</c:f>
              <c:numCache>
                <c:formatCode>0</c:formatCode>
                <c:ptCount val="101"/>
                <c:pt idx="0">
                  <c:v>1.0000000000000002E-6</c:v>
                </c:pt>
                <c:pt idx="1">
                  <c:v>3</c:v>
                </c:pt>
                <c:pt idx="2">
                  <c:v>6</c:v>
                </c:pt>
                <c:pt idx="3">
                  <c:v>9</c:v>
                </c:pt>
                <c:pt idx="4">
                  <c:v>12</c:v>
                </c:pt>
                <c:pt idx="5">
                  <c:v>15</c:v>
                </c:pt>
                <c:pt idx="6">
                  <c:v>18</c:v>
                </c:pt>
                <c:pt idx="7">
                  <c:v>21</c:v>
                </c:pt>
                <c:pt idx="8">
                  <c:v>24</c:v>
                </c:pt>
                <c:pt idx="9">
                  <c:v>27</c:v>
                </c:pt>
                <c:pt idx="10">
                  <c:v>30</c:v>
                </c:pt>
                <c:pt idx="11">
                  <c:v>33</c:v>
                </c:pt>
                <c:pt idx="12">
                  <c:v>36</c:v>
                </c:pt>
                <c:pt idx="13">
                  <c:v>39</c:v>
                </c:pt>
                <c:pt idx="14">
                  <c:v>42</c:v>
                </c:pt>
                <c:pt idx="15">
                  <c:v>45</c:v>
                </c:pt>
                <c:pt idx="16">
                  <c:v>48</c:v>
                </c:pt>
                <c:pt idx="17">
                  <c:v>51.000000000000007</c:v>
                </c:pt>
                <c:pt idx="18">
                  <c:v>54</c:v>
                </c:pt>
                <c:pt idx="19">
                  <c:v>56.999999999999993</c:v>
                </c:pt>
                <c:pt idx="20">
                  <c:v>60</c:v>
                </c:pt>
                <c:pt idx="21">
                  <c:v>63</c:v>
                </c:pt>
                <c:pt idx="22">
                  <c:v>66</c:v>
                </c:pt>
                <c:pt idx="23">
                  <c:v>69</c:v>
                </c:pt>
                <c:pt idx="24">
                  <c:v>72</c:v>
                </c:pt>
                <c:pt idx="25">
                  <c:v>75</c:v>
                </c:pt>
                <c:pt idx="26">
                  <c:v>78</c:v>
                </c:pt>
                <c:pt idx="27">
                  <c:v>81</c:v>
                </c:pt>
                <c:pt idx="28">
                  <c:v>84</c:v>
                </c:pt>
                <c:pt idx="29">
                  <c:v>87</c:v>
                </c:pt>
                <c:pt idx="30">
                  <c:v>90</c:v>
                </c:pt>
                <c:pt idx="31">
                  <c:v>93</c:v>
                </c:pt>
                <c:pt idx="32">
                  <c:v>96</c:v>
                </c:pt>
                <c:pt idx="33">
                  <c:v>99</c:v>
                </c:pt>
                <c:pt idx="34">
                  <c:v>102.00000000000001</c:v>
                </c:pt>
                <c:pt idx="35">
                  <c:v>105</c:v>
                </c:pt>
                <c:pt idx="36">
                  <c:v>108</c:v>
                </c:pt>
                <c:pt idx="37">
                  <c:v>111</c:v>
                </c:pt>
                <c:pt idx="38">
                  <c:v>113.99999999999999</c:v>
                </c:pt>
                <c:pt idx="39">
                  <c:v>117</c:v>
                </c:pt>
                <c:pt idx="40">
                  <c:v>120</c:v>
                </c:pt>
                <c:pt idx="41">
                  <c:v>122.99999999999999</c:v>
                </c:pt>
                <c:pt idx="42">
                  <c:v>126</c:v>
                </c:pt>
                <c:pt idx="43">
                  <c:v>129</c:v>
                </c:pt>
                <c:pt idx="44">
                  <c:v>132</c:v>
                </c:pt>
                <c:pt idx="45">
                  <c:v>135</c:v>
                </c:pt>
                <c:pt idx="46">
                  <c:v>138</c:v>
                </c:pt>
                <c:pt idx="47">
                  <c:v>141</c:v>
                </c:pt>
                <c:pt idx="48">
                  <c:v>144</c:v>
                </c:pt>
                <c:pt idx="49">
                  <c:v>147</c:v>
                </c:pt>
                <c:pt idx="50">
                  <c:v>150</c:v>
                </c:pt>
                <c:pt idx="51">
                  <c:v>153</c:v>
                </c:pt>
                <c:pt idx="52">
                  <c:v>156</c:v>
                </c:pt>
                <c:pt idx="53">
                  <c:v>159</c:v>
                </c:pt>
                <c:pt idx="54">
                  <c:v>162</c:v>
                </c:pt>
                <c:pt idx="55">
                  <c:v>165</c:v>
                </c:pt>
                <c:pt idx="56">
                  <c:v>168</c:v>
                </c:pt>
                <c:pt idx="57">
                  <c:v>170.99999999999997</c:v>
                </c:pt>
                <c:pt idx="58">
                  <c:v>174</c:v>
                </c:pt>
                <c:pt idx="59">
                  <c:v>177</c:v>
                </c:pt>
                <c:pt idx="60">
                  <c:v>180</c:v>
                </c:pt>
                <c:pt idx="61">
                  <c:v>183</c:v>
                </c:pt>
                <c:pt idx="62">
                  <c:v>186</c:v>
                </c:pt>
                <c:pt idx="63">
                  <c:v>189</c:v>
                </c:pt>
                <c:pt idx="64">
                  <c:v>192</c:v>
                </c:pt>
                <c:pt idx="65">
                  <c:v>195</c:v>
                </c:pt>
                <c:pt idx="66">
                  <c:v>198</c:v>
                </c:pt>
                <c:pt idx="67">
                  <c:v>201</c:v>
                </c:pt>
                <c:pt idx="68">
                  <c:v>204.00000000000003</c:v>
                </c:pt>
                <c:pt idx="69">
                  <c:v>207</c:v>
                </c:pt>
                <c:pt idx="70">
                  <c:v>210</c:v>
                </c:pt>
                <c:pt idx="71">
                  <c:v>213</c:v>
                </c:pt>
                <c:pt idx="72">
                  <c:v>216</c:v>
                </c:pt>
                <c:pt idx="73">
                  <c:v>219</c:v>
                </c:pt>
                <c:pt idx="74">
                  <c:v>222</c:v>
                </c:pt>
                <c:pt idx="75">
                  <c:v>224.99999999999997</c:v>
                </c:pt>
                <c:pt idx="76">
                  <c:v>227.99999999999997</c:v>
                </c:pt>
                <c:pt idx="77">
                  <c:v>230.99999999999997</c:v>
                </c:pt>
                <c:pt idx="78">
                  <c:v>234</c:v>
                </c:pt>
                <c:pt idx="79">
                  <c:v>237</c:v>
                </c:pt>
                <c:pt idx="80">
                  <c:v>240</c:v>
                </c:pt>
                <c:pt idx="81">
                  <c:v>243</c:v>
                </c:pt>
                <c:pt idx="82">
                  <c:v>245.99999999999997</c:v>
                </c:pt>
                <c:pt idx="83">
                  <c:v>248.99999999999997</c:v>
                </c:pt>
                <c:pt idx="84">
                  <c:v>252</c:v>
                </c:pt>
                <c:pt idx="85">
                  <c:v>255</c:v>
                </c:pt>
                <c:pt idx="86">
                  <c:v>258</c:v>
                </c:pt>
                <c:pt idx="87">
                  <c:v>261</c:v>
                </c:pt>
                <c:pt idx="88">
                  <c:v>264</c:v>
                </c:pt>
                <c:pt idx="89">
                  <c:v>267</c:v>
                </c:pt>
                <c:pt idx="90">
                  <c:v>270</c:v>
                </c:pt>
                <c:pt idx="91">
                  <c:v>273</c:v>
                </c:pt>
                <c:pt idx="92">
                  <c:v>276</c:v>
                </c:pt>
                <c:pt idx="93">
                  <c:v>279</c:v>
                </c:pt>
                <c:pt idx="94">
                  <c:v>282</c:v>
                </c:pt>
                <c:pt idx="95">
                  <c:v>285</c:v>
                </c:pt>
                <c:pt idx="96">
                  <c:v>288</c:v>
                </c:pt>
                <c:pt idx="97">
                  <c:v>291</c:v>
                </c:pt>
                <c:pt idx="98">
                  <c:v>294</c:v>
                </c:pt>
                <c:pt idx="99">
                  <c:v>297</c:v>
                </c:pt>
                <c:pt idx="100">
                  <c:v>300</c:v>
                </c:pt>
              </c:numCache>
            </c:numRef>
          </c:cat>
          <c:val>
            <c:numRef>
              <c:f>'Calculations - Single'!$AN$216:$AN$316</c:f>
              <c:numCache>
                <c:formatCode>0.0</c:formatCode>
                <c:ptCount val="101"/>
                <c:pt idx="0">
                  <c:v>10</c:v>
                </c:pt>
                <c:pt idx="1">
                  <c:v>27.199762187871581</c:v>
                </c:pt>
                <c:pt idx="2">
                  <c:v>54.399524375743162</c:v>
                </c:pt>
                <c:pt idx="3">
                  <c:v>81.599286563614726</c:v>
                </c:pt>
                <c:pt idx="4">
                  <c:v>108.79904875148632</c:v>
                </c:pt>
                <c:pt idx="5">
                  <c:v>135.9988109393579</c:v>
                </c:pt>
                <c:pt idx="6">
                  <c:v>163.19857312722945</c:v>
                </c:pt>
                <c:pt idx="7">
                  <c:v>190.39833531510109</c:v>
                </c:pt>
                <c:pt idx="8">
                  <c:v>217.59809750297265</c:v>
                </c:pt>
                <c:pt idx="9">
                  <c:v>244.79785969084423</c:v>
                </c:pt>
                <c:pt idx="10">
                  <c:v>271.99762187871579</c:v>
                </c:pt>
                <c:pt idx="11">
                  <c:v>299.1973840665874</c:v>
                </c:pt>
                <c:pt idx="12">
                  <c:v>326.3971462544589</c:v>
                </c:pt>
                <c:pt idx="13">
                  <c:v>350</c:v>
                </c:pt>
                <c:pt idx="14">
                  <c:v>350</c:v>
                </c:pt>
                <c:pt idx="15">
                  <c:v>350</c:v>
                </c:pt>
                <c:pt idx="16">
                  <c:v>350</c:v>
                </c:pt>
                <c:pt idx="17">
                  <c:v>350</c:v>
                </c:pt>
                <c:pt idx="18">
                  <c:v>350</c:v>
                </c:pt>
                <c:pt idx="19">
                  <c:v>350</c:v>
                </c:pt>
                <c:pt idx="20">
                  <c:v>350</c:v>
                </c:pt>
                <c:pt idx="21">
                  <c:v>350</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350</c:v>
                </c:pt>
                <c:pt idx="57">
                  <c:v>350</c:v>
                </c:pt>
                <c:pt idx="58">
                  <c:v>350</c:v>
                </c:pt>
                <c:pt idx="59">
                  <c:v>350</c:v>
                </c:pt>
                <c:pt idx="60">
                  <c:v>350</c:v>
                </c:pt>
                <c:pt idx="61">
                  <c:v>350</c:v>
                </c:pt>
                <c:pt idx="62">
                  <c:v>350</c:v>
                </c:pt>
                <c:pt idx="63">
                  <c:v>345.0502193656074</c:v>
                </c:pt>
                <c:pt idx="64">
                  <c:v>339.6588096880198</c:v>
                </c:pt>
                <c:pt idx="65">
                  <c:v>334.43328953897333</c:v>
                </c:pt>
                <c:pt idx="66">
                  <c:v>329.36611848535244</c:v>
                </c:pt>
                <c:pt idx="67">
                  <c:v>324.45020626915317</c:v>
                </c:pt>
                <c:pt idx="68">
                  <c:v>319.67887970637162</c:v>
                </c:pt>
                <c:pt idx="69">
                  <c:v>315.04585246425029</c:v>
                </c:pt>
                <c:pt idx="70">
                  <c:v>310.54519742904671</c:v>
                </c:pt>
                <c:pt idx="71">
                  <c:v>306.17132140891931</c:v>
                </c:pt>
                <c:pt idx="72">
                  <c:v>301.91894194490646</c:v>
                </c:pt>
                <c:pt idx="73">
                  <c:v>297.78306602785301</c:v>
                </c:pt>
                <c:pt idx="74">
                  <c:v>293.75897054099011</c:v>
                </c:pt>
                <c:pt idx="75">
                  <c:v>289.84218426711033</c:v>
                </c:pt>
                <c:pt idx="76">
                  <c:v>286.02847131622724</c:v>
                </c:pt>
                <c:pt idx="77">
                  <c:v>282.31381584458785</c:v>
                </c:pt>
                <c:pt idx="78">
                  <c:v>278.69440794914448</c:v>
                </c:pt>
                <c:pt idx="79">
                  <c:v>275.16663063333255</c:v>
                </c:pt>
                <c:pt idx="80">
                  <c:v>271.72704775041592</c:v>
                </c:pt>
                <c:pt idx="81">
                  <c:v>268.37239283991687</c:v>
                </c:pt>
                <c:pt idx="82">
                  <c:v>265.09955878089357</c:v>
                </c:pt>
                <c:pt idx="83">
                  <c:v>261.90558819317192</c:v>
                </c:pt>
                <c:pt idx="84">
                  <c:v>258.78766452420552</c:v>
                </c:pt>
                <c:pt idx="85">
                  <c:v>255.74310376509723</c:v>
                </c:pt>
                <c:pt idx="86">
                  <c:v>252.76934674457291</c:v>
                </c:pt>
                <c:pt idx="87">
                  <c:v>249.86395195440537</c:v>
                </c:pt>
                <c:pt idx="88">
                  <c:v>247.02458886401439</c:v>
                </c:pt>
                <c:pt idx="89">
                  <c:v>244.24903168576702</c:v>
                </c:pt>
                <c:pt idx="90">
                  <c:v>241.53515355592518</c:v>
                </c:pt>
                <c:pt idx="91">
                  <c:v>238.88092109926663</c:v>
                </c:pt>
                <c:pt idx="92">
                  <c:v>236.28438934818766</c:v>
                </c:pt>
                <c:pt idx="93">
                  <c:v>233.74369698960501</c:v>
                </c:pt>
                <c:pt idx="94">
                  <c:v>231.25706191524756</c:v>
                </c:pt>
                <c:pt idx="95">
                  <c:v>228.82277705298185</c:v>
                </c:pt>
                <c:pt idx="96">
                  <c:v>226.43920645867985</c:v>
                </c:pt>
                <c:pt idx="97">
                  <c:v>224.10478164982752</c:v>
                </c:pt>
                <c:pt idx="98">
                  <c:v>221.81799816360476</c:v>
                </c:pt>
                <c:pt idx="99">
                  <c:v>219.57741232356832</c:v>
                </c:pt>
                <c:pt idx="100">
                  <c:v>217.38163820033265</c:v>
                </c:pt>
              </c:numCache>
            </c:numRef>
          </c:val>
          <c:smooth val="0"/>
        </c:ser>
        <c:ser>
          <c:idx val="3"/>
          <c:order val="3"/>
          <c:spPr>
            <a:ln>
              <a:noFill/>
            </a:ln>
          </c:spPr>
          <c:marker>
            <c:symbol val="x"/>
            <c:size val="10"/>
            <c:spPr>
              <a:pattFill prst="pct5">
                <a:fgClr>
                  <a:schemeClr val="tx1"/>
                </a:fgClr>
                <a:bgClr>
                  <a:schemeClr val="bg1"/>
                </a:bgClr>
              </a:pattFill>
              <a:ln>
                <a:solidFill>
                  <a:srgbClr val="33CC33"/>
                </a:solidFill>
              </a:ln>
            </c:spPr>
          </c:marker>
          <c:cat>
            <c:numRef>
              <c:f>'Calculations - Single'!$AM$5:$AM$105</c:f>
              <c:numCache>
                <c:formatCode>0</c:formatCode>
                <c:ptCount val="101"/>
                <c:pt idx="0">
                  <c:v>1.0000000000000002E-6</c:v>
                </c:pt>
                <c:pt idx="1">
                  <c:v>3</c:v>
                </c:pt>
                <c:pt idx="2">
                  <c:v>6</c:v>
                </c:pt>
                <c:pt idx="3">
                  <c:v>9</c:v>
                </c:pt>
                <c:pt idx="4">
                  <c:v>12</c:v>
                </c:pt>
                <c:pt idx="5">
                  <c:v>15</c:v>
                </c:pt>
                <c:pt idx="6">
                  <c:v>18</c:v>
                </c:pt>
                <c:pt idx="7">
                  <c:v>21</c:v>
                </c:pt>
                <c:pt idx="8">
                  <c:v>24</c:v>
                </c:pt>
                <c:pt idx="9">
                  <c:v>27</c:v>
                </c:pt>
                <c:pt idx="10">
                  <c:v>30</c:v>
                </c:pt>
                <c:pt idx="11">
                  <c:v>33</c:v>
                </c:pt>
                <c:pt idx="12">
                  <c:v>36</c:v>
                </c:pt>
                <c:pt idx="13">
                  <c:v>39</c:v>
                </c:pt>
                <c:pt idx="14">
                  <c:v>42</c:v>
                </c:pt>
                <c:pt idx="15">
                  <c:v>45</c:v>
                </c:pt>
                <c:pt idx="16">
                  <c:v>48</c:v>
                </c:pt>
                <c:pt idx="17">
                  <c:v>51.000000000000007</c:v>
                </c:pt>
                <c:pt idx="18">
                  <c:v>54</c:v>
                </c:pt>
                <c:pt idx="19">
                  <c:v>56.999999999999993</c:v>
                </c:pt>
                <c:pt idx="20">
                  <c:v>60</c:v>
                </c:pt>
                <c:pt idx="21">
                  <c:v>63</c:v>
                </c:pt>
                <c:pt idx="22">
                  <c:v>66</c:v>
                </c:pt>
                <c:pt idx="23">
                  <c:v>69</c:v>
                </c:pt>
                <c:pt idx="24">
                  <c:v>72</c:v>
                </c:pt>
                <c:pt idx="25">
                  <c:v>75</c:v>
                </c:pt>
                <c:pt idx="26">
                  <c:v>78</c:v>
                </c:pt>
                <c:pt idx="27">
                  <c:v>81</c:v>
                </c:pt>
                <c:pt idx="28">
                  <c:v>84</c:v>
                </c:pt>
                <c:pt idx="29">
                  <c:v>87</c:v>
                </c:pt>
                <c:pt idx="30">
                  <c:v>90</c:v>
                </c:pt>
                <c:pt idx="31">
                  <c:v>93</c:v>
                </c:pt>
                <c:pt idx="32">
                  <c:v>96</c:v>
                </c:pt>
                <c:pt idx="33">
                  <c:v>99</c:v>
                </c:pt>
                <c:pt idx="34">
                  <c:v>102.00000000000001</c:v>
                </c:pt>
                <c:pt idx="35">
                  <c:v>105</c:v>
                </c:pt>
                <c:pt idx="36">
                  <c:v>108</c:v>
                </c:pt>
                <c:pt idx="37">
                  <c:v>111</c:v>
                </c:pt>
                <c:pt idx="38">
                  <c:v>113.99999999999999</c:v>
                </c:pt>
                <c:pt idx="39">
                  <c:v>117</c:v>
                </c:pt>
                <c:pt idx="40">
                  <c:v>120</c:v>
                </c:pt>
                <c:pt idx="41">
                  <c:v>122.99999999999999</c:v>
                </c:pt>
                <c:pt idx="42">
                  <c:v>126</c:v>
                </c:pt>
                <c:pt idx="43">
                  <c:v>129</c:v>
                </c:pt>
                <c:pt idx="44">
                  <c:v>132</c:v>
                </c:pt>
                <c:pt idx="45">
                  <c:v>135</c:v>
                </c:pt>
                <c:pt idx="46">
                  <c:v>138</c:v>
                </c:pt>
                <c:pt idx="47">
                  <c:v>141</c:v>
                </c:pt>
                <c:pt idx="48">
                  <c:v>144</c:v>
                </c:pt>
                <c:pt idx="49">
                  <c:v>147</c:v>
                </c:pt>
                <c:pt idx="50">
                  <c:v>150</c:v>
                </c:pt>
                <c:pt idx="51">
                  <c:v>153</c:v>
                </c:pt>
                <c:pt idx="52">
                  <c:v>156</c:v>
                </c:pt>
                <c:pt idx="53">
                  <c:v>159</c:v>
                </c:pt>
                <c:pt idx="54">
                  <c:v>162</c:v>
                </c:pt>
                <c:pt idx="55">
                  <c:v>165</c:v>
                </c:pt>
                <c:pt idx="56">
                  <c:v>168</c:v>
                </c:pt>
                <c:pt idx="57">
                  <c:v>170.99999999999997</c:v>
                </c:pt>
                <c:pt idx="58">
                  <c:v>174</c:v>
                </c:pt>
                <c:pt idx="59">
                  <c:v>177</c:v>
                </c:pt>
                <c:pt idx="60">
                  <c:v>180</c:v>
                </c:pt>
                <c:pt idx="61">
                  <c:v>183</c:v>
                </c:pt>
                <c:pt idx="62">
                  <c:v>186</c:v>
                </c:pt>
                <c:pt idx="63">
                  <c:v>189</c:v>
                </c:pt>
                <c:pt idx="64">
                  <c:v>192</c:v>
                </c:pt>
                <c:pt idx="65">
                  <c:v>195</c:v>
                </c:pt>
                <c:pt idx="66">
                  <c:v>198</c:v>
                </c:pt>
                <c:pt idx="67">
                  <c:v>201</c:v>
                </c:pt>
                <c:pt idx="68">
                  <c:v>204.00000000000003</c:v>
                </c:pt>
                <c:pt idx="69">
                  <c:v>207</c:v>
                </c:pt>
                <c:pt idx="70">
                  <c:v>210</c:v>
                </c:pt>
                <c:pt idx="71">
                  <c:v>213</c:v>
                </c:pt>
                <c:pt idx="72">
                  <c:v>216</c:v>
                </c:pt>
                <c:pt idx="73">
                  <c:v>219</c:v>
                </c:pt>
                <c:pt idx="74">
                  <c:v>222</c:v>
                </c:pt>
                <c:pt idx="75">
                  <c:v>224.99999999999997</c:v>
                </c:pt>
                <c:pt idx="76">
                  <c:v>227.99999999999997</c:v>
                </c:pt>
                <c:pt idx="77">
                  <c:v>230.99999999999997</c:v>
                </c:pt>
                <c:pt idx="78">
                  <c:v>234</c:v>
                </c:pt>
                <c:pt idx="79">
                  <c:v>237</c:v>
                </c:pt>
                <c:pt idx="80">
                  <c:v>240</c:v>
                </c:pt>
                <c:pt idx="81">
                  <c:v>243</c:v>
                </c:pt>
                <c:pt idx="82">
                  <c:v>245.99999999999997</c:v>
                </c:pt>
                <c:pt idx="83">
                  <c:v>248.99999999999997</c:v>
                </c:pt>
                <c:pt idx="84">
                  <c:v>252</c:v>
                </c:pt>
                <c:pt idx="85">
                  <c:v>255</c:v>
                </c:pt>
                <c:pt idx="86">
                  <c:v>258</c:v>
                </c:pt>
                <c:pt idx="87">
                  <c:v>261</c:v>
                </c:pt>
                <c:pt idx="88">
                  <c:v>264</c:v>
                </c:pt>
                <c:pt idx="89">
                  <c:v>267</c:v>
                </c:pt>
                <c:pt idx="90">
                  <c:v>270</c:v>
                </c:pt>
                <c:pt idx="91">
                  <c:v>273</c:v>
                </c:pt>
                <c:pt idx="92">
                  <c:v>276</c:v>
                </c:pt>
                <c:pt idx="93">
                  <c:v>279</c:v>
                </c:pt>
                <c:pt idx="94">
                  <c:v>282</c:v>
                </c:pt>
                <c:pt idx="95">
                  <c:v>285</c:v>
                </c:pt>
                <c:pt idx="96">
                  <c:v>288</c:v>
                </c:pt>
                <c:pt idx="97">
                  <c:v>291</c:v>
                </c:pt>
                <c:pt idx="98">
                  <c:v>294</c:v>
                </c:pt>
                <c:pt idx="99">
                  <c:v>297</c:v>
                </c:pt>
                <c:pt idx="100">
                  <c:v>300</c:v>
                </c:pt>
              </c:numCache>
            </c:numRef>
          </c:cat>
          <c:val>
            <c:numRef>
              <c:f>'Calculations - Single'!$CB$110:$CB$210</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82.489426667496929</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ser>
        <c:ser>
          <c:idx val="4"/>
          <c:order val="4"/>
          <c:spPr>
            <a:ln>
              <a:noFill/>
            </a:ln>
          </c:spPr>
          <c:marker>
            <c:symbol val="x"/>
            <c:size val="10"/>
            <c:spPr>
              <a:pattFill prst="pct5">
                <a:fgClr>
                  <a:schemeClr val="tx1"/>
                </a:fgClr>
                <a:bgClr>
                  <a:schemeClr val="bg1"/>
                </a:bgClr>
              </a:pattFill>
              <a:ln>
                <a:solidFill>
                  <a:srgbClr val="FF0000"/>
                </a:solidFill>
              </a:ln>
            </c:spPr>
          </c:marker>
          <c:cat>
            <c:numRef>
              <c:f>'Calculations - Single'!$AM$5:$AM$105</c:f>
              <c:numCache>
                <c:formatCode>0</c:formatCode>
                <c:ptCount val="101"/>
                <c:pt idx="0">
                  <c:v>1.0000000000000002E-6</c:v>
                </c:pt>
                <c:pt idx="1">
                  <c:v>3</c:v>
                </c:pt>
                <c:pt idx="2">
                  <c:v>6</c:v>
                </c:pt>
                <c:pt idx="3">
                  <c:v>9</c:v>
                </c:pt>
                <c:pt idx="4">
                  <c:v>12</c:v>
                </c:pt>
                <c:pt idx="5">
                  <c:v>15</c:v>
                </c:pt>
                <c:pt idx="6">
                  <c:v>18</c:v>
                </c:pt>
                <c:pt idx="7">
                  <c:v>21</c:v>
                </c:pt>
                <c:pt idx="8">
                  <c:v>24</c:v>
                </c:pt>
                <c:pt idx="9">
                  <c:v>27</c:v>
                </c:pt>
                <c:pt idx="10">
                  <c:v>30</c:v>
                </c:pt>
                <c:pt idx="11">
                  <c:v>33</c:v>
                </c:pt>
                <c:pt idx="12">
                  <c:v>36</c:v>
                </c:pt>
                <c:pt idx="13">
                  <c:v>39</c:v>
                </c:pt>
                <c:pt idx="14">
                  <c:v>42</c:v>
                </c:pt>
                <c:pt idx="15">
                  <c:v>45</c:v>
                </c:pt>
                <c:pt idx="16">
                  <c:v>48</c:v>
                </c:pt>
                <c:pt idx="17">
                  <c:v>51.000000000000007</c:v>
                </c:pt>
                <c:pt idx="18">
                  <c:v>54</c:v>
                </c:pt>
                <c:pt idx="19">
                  <c:v>56.999999999999993</c:v>
                </c:pt>
                <c:pt idx="20">
                  <c:v>60</c:v>
                </c:pt>
                <c:pt idx="21">
                  <c:v>63</c:v>
                </c:pt>
                <c:pt idx="22">
                  <c:v>66</c:v>
                </c:pt>
                <c:pt idx="23">
                  <c:v>69</c:v>
                </c:pt>
                <c:pt idx="24">
                  <c:v>72</c:v>
                </c:pt>
                <c:pt idx="25">
                  <c:v>75</c:v>
                </c:pt>
                <c:pt idx="26">
                  <c:v>78</c:v>
                </c:pt>
                <c:pt idx="27">
                  <c:v>81</c:v>
                </c:pt>
                <c:pt idx="28">
                  <c:v>84</c:v>
                </c:pt>
                <c:pt idx="29">
                  <c:v>87</c:v>
                </c:pt>
                <c:pt idx="30">
                  <c:v>90</c:v>
                </c:pt>
                <c:pt idx="31">
                  <c:v>93</c:v>
                </c:pt>
                <c:pt idx="32">
                  <c:v>96</c:v>
                </c:pt>
                <c:pt idx="33">
                  <c:v>99</c:v>
                </c:pt>
                <c:pt idx="34">
                  <c:v>102.00000000000001</c:v>
                </c:pt>
                <c:pt idx="35">
                  <c:v>105</c:v>
                </c:pt>
                <c:pt idx="36">
                  <c:v>108</c:v>
                </c:pt>
                <c:pt idx="37">
                  <c:v>111</c:v>
                </c:pt>
                <c:pt idx="38">
                  <c:v>113.99999999999999</c:v>
                </c:pt>
                <c:pt idx="39">
                  <c:v>117</c:v>
                </c:pt>
                <c:pt idx="40">
                  <c:v>120</c:v>
                </c:pt>
                <c:pt idx="41">
                  <c:v>122.99999999999999</c:v>
                </c:pt>
                <c:pt idx="42">
                  <c:v>126</c:v>
                </c:pt>
                <c:pt idx="43">
                  <c:v>129</c:v>
                </c:pt>
                <c:pt idx="44">
                  <c:v>132</c:v>
                </c:pt>
                <c:pt idx="45">
                  <c:v>135</c:v>
                </c:pt>
                <c:pt idx="46">
                  <c:v>138</c:v>
                </c:pt>
                <c:pt idx="47">
                  <c:v>141</c:v>
                </c:pt>
                <c:pt idx="48">
                  <c:v>144</c:v>
                </c:pt>
                <c:pt idx="49">
                  <c:v>147</c:v>
                </c:pt>
                <c:pt idx="50">
                  <c:v>150</c:v>
                </c:pt>
                <c:pt idx="51">
                  <c:v>153</c:v>
                </c:pt>
                <c:pt idx="52">
                  <c:v>156</c:v>
                </c:pt>
                <c:pt idx="53">
                  <c:v>159</c:v>
                </c:pt>
                <c:pt idx="54">
                  <c:v>162</c:v>
                </c:pt>
                <c:pt idx="55">
                  <c:v>165</c:v>
                </c:pt>
                <c:pt idx="56">
                  <c:v>168</c:v>
                </c:pt>
                <c:pt idx="57">
                  <c:v>170.99999999999997</c:v>
                </c:pt>
                <c:pt idx="58">
                  <c:v>174</c:v>
                </c:pt>
                <c:pt idx="59">
                  <c:v>177</c:v>
                </c:pt>
                <c:pt idx="60">
                  <c:v>180</c:v>
                </c:pt>
                <c:pt idx="61">
                  <c:v>183</c:v>
                </c:pt>
                <c:pt idx="62">
                  <c:v>186</c:v>
                </c:pt>
                <c:pt idx="63">
                  <c:v>189</c:v>
                </c:pt>
                <c:pt idx="64">
                  <c:v>192</c:v>
                </c:pt>
                <c:pt idx="65">
                  <c:v>195</c:v>
                </c:pt>
                <c:pt idx="66">
                  <c:v>198</c:v>
                </c:pt>
                <c:pt idx="67">
                  <c:v>201</c:v>
                </c:pt>
                <c:pt idx="68">
                  <c:v>204.00000000000003</c:v>
                </c:pt>
                <c:pt idx="69">
                  <c:v>207</c:v>
                </c:pt>
                <c:pt idx="70">
                  <c:v>210</c:v>
                </c:pt>
                <c:pt idx="71">
                  <c:v>213</c:v>
                </c:pt>
                <c:pt idx="72">
                  <c:v>216</c:v>
                </c:pt>
                <c:pt idx="73">
                  <c:v>219</c:v>
                </c:pt>
                <c:pt idx="74">
                  <c:v>222</c:v>
                </c:pt>
                <c:pt idx="75">
                  <c:v>224.99999999999997</c:v>
                </c:pt>
                <c:pt idx="76">
                  <c:v>227.99999999999997</c:v>
                </c:pt>
                <c:pt idx="77">
                  <c:v>230.99999999999997</c:v>
                </c:pt>
                <c:pt idx="78">
                  <c:v>234</c:v>
                </c:pt>
                <c:pt idx="79">
                  <c:v>237</c:v>
                </c:pt>
                <c:pt idx="80">
                  <c:v>240</c:v>
                </c:pt>
                <c:pt idx="81">
                  <c:v>243</c:v>
                </c:pt>
                <c:pt idx="82">
                  <c:v>245.99999999999997</c:v>
                </c:pt>
                <c:pt idx="83">
                  <c:v>248.99999999999997</c:v>
                </c:pt>
                <c:pt idx="84">
                  <c:v>252</c:v>
                </c:pt>
                <c:pt idx="85">
                  <c:v>255</c:v>
                </c:pt>
                <c:pt idx="86">
                  <c:v>258</c:v>
                </c:pt>
                <c:pt idx="87">
                  <c:v>261</c:v>
                </c:pt>
                <c:pt idx="88">
                  <c:v>264</c:v>
                </c:pt>
                <c:pt idx="89">
                  <c:v>267</c:v>
                </c:pt>
                <c:pt idx="90">
                  <c:v>270</c:v>
                </c:pt>
                <c:pt idx="91">
                  <c:v>273</c:v>
                </c:pt>
                <c:pt idx="92">
                  <c:v>276</c:v>
                </c:pt>
                <c:pt idx="93">
                  <c:v>279</c:v>
                </c:pt>
                <c:pt idx="94">
                  <c:v>282</c:v>
                </c:pt>
                <c:pt idx="95">
                  <c:v>285</c:v>
                </c:pt>
                <c:pt idx="96">
                  <c:v>288</c:v>
                </c:pt>
                <c:pt idx="97">
                  <c:v>291</c:v>
                </c:pt>
                <c:pt idx="98">
                  <c:v>294</c:v>
                </c:pt>
                <c:pt idx="99">
                  <c:v>297</c:v>
                </c:pt>
                <c:pt idx="100">
                  <c:v>300</c:v>
                </c:pt>
              </c:numCache>
            </c:numRef>
          </c:cat>
          <c:val>
            <c:numRef>
              <c:f>'Calculations - Single'!$CB$5:$CB$105</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116.23513935877868</c:v>
                </c:pt>
                <c:pt idx="98">
                  <c:v>-50</c:v>
                </c:pt>
                <c:pt idx="99">
                  <c:v>-50</c:v>
                </c:pt>
                <c:pt idx="100">
                  <c:v>-50</c:v>
                </c:pt>
              </c:numCache>
            </c:numRef>
          </c:val>
          <c:smooth val="0"/>
        </c:ser>
        <c:ser>
          <c:idx val="5"/>
          <c:order val="5"/>
          <c:spPr>
            <a:ln>
              <a:noFill/>
            </a:ln>
          </c:spPr>
          <c:marker>
            <c:symbol val="x"/>
            <c:size val="10"/>
            <c:spPr>
              <a:pattFill prst="pct5">
                <a:fgClr>
                  <a:schemeClr val="tx1"/>
                </a:fgClr>
                <a:bgClr>
                  <a:schemeClr val="bg1"/>
                </a:bgClr>
              </a:pattFill>
              <a:ln>
                <a:solidFill>
                  <a:srgbClr val="0000FF"/>
                </a:solidFill>
              </a:ln>
            </c:spPr>
          </c:marker>
          <c:cat>
            <c:numRef>
              <c:f>'Calculations - Single'!$AM$5:$AM$105</c:f>
              <c:numCache>
                <c:formatCode>0</c:formatCode>
                <c:ptCount val="101"/>
                <c:pt idx="0">
                  <c:v>1.0000000000000002E-6</c:v>
                </c:pt>
                <c:pt idx="1">
                  <c:v>3</c:v>
                </c:pt>
                <c:pt idx="2">
                  <c:v>6</c:v>
                </c:pt>
                <c:pt idx="3">
                  <c:v>9</c:v>
                </c:pt>
                <c:pt idx="4">
                  <c:v>12</c:v>
                </c:pt>
                <c:pt idx="5">
                  <c:v>15</c:v>
                </c:pt>
                <c:pt idx="6">
                  <c:v>18</c:v>
                </c:pt>
                <c:pt idx="7">
                  <c:v>21</c:v>
                </c:pt>
                <c:pt idx="8">
                  <c:v>24</c:v>
                </c:pt>
                <c:pt idx="9">
                  <c:v>27</c:v>
                </c:pt>
                <c:pt idx="10">
                  <c:v>30</c:v>
                </c:pt>
                <c:pt idx="11">
                  <c:v>33</c:v>
                </c:pt>
                <c:pt idx="12">
                  <c:v>36</c:v>
                </c:pt>
                <c:pt idx="13">
                  <c:v>39</c:v>
                </c:pt>
                <c:pt idx="14">
                  <c:v>42</c:v>
                </c:pt>
                <c:pt idx="15">
                  <c:v>45</c:v>
                </c:pt>
                <c:pt idx="16">
                  <c:v>48</c:v>
                </c:pt>
                <c:pt idx="17">
                  <c:v>51.000000000000007</c:v>
                </c:pt>
                <c:pt idx="18">
                  <c:v>54</c:v>
                </c:pt>
                <c:pt idx="19">
                  <c:v>56.999999999999993</c:v>
                </c:pt>
                <c:pt idx="20">
                  <c:v>60</c:v>
                </c:pt>
                <c:pt idx="21">
                  <c:v>63</c:v>
                </c:pt>
                <c:pt idx="22">
                  <c:v>66</c:v>
                </c:pt>
                <c:pt idx="23">
                  <c:v>69</c:v>
                </c:pt>
                <c:pt idx="24">
                  <c:v>72</c:v>
                </c:pt>
                <c:pt idx="25">
                  <c:v>75</c:v>
                </c:pt>
                <c:pt idx="26">
                  <c:v>78</c:v>
                </c:pt>
                <c:pt idx="27">
                  <c:v>81</c:v>
                </c:pt>
                <c:pt idx="28">
                  <c:v>84</c:v>
                </c:pt>
                <c:pt idx="29">
                  <c:v>87</c:v>
                </c:pt>
                <c:pt idx="30">
                  <c:v>90</c:v>
                </c:pt>
                <c:pt idx="31">
                  <c:v>93</c:v>
                </c:pt>
                <c:pt idx="32">
                  <c:v>96</c:v>
                </c:pt>
                <c:pt idx="33">
                  <c:v>99</c:v>
                </c:pt>
                <c:pt idx="34">
                  <c:v>102.00000000000001</c:v>
                </c:pt>
                <c:pt idx="35">
                  <c:v>105</c:v>
                </c:pt>
                <c:pt idx="36">
                  <c:v>108</c:v>
                </c:pt>
                <c:pt idx="37">
                  <c:v>111</c:v>
                </c:pt>
                <c:pt idx="38">
                  <c:v>113.99999999999999</c:v>
                </c:pt>
                <c:pt idx="39">
                  <c:v>117</c:v>
                </c:pt>
                <c:pt idx="40">
                  <c:v>120</c:v>
                </c:pt>
                <c:pt idx="41">
                  <c:v>122.99999999999999</c:v>
                </c:pt>
                <c:pt idx="42">
                  <c:v>126</c:v>
                </c:pt>
                <c:pt idx="43">
                  <c:v>129</c:v>
                </c:pt>
                <c:pt idx="44">
                  <c:v>132</c:v>
                </c:pt>
                <c:pt idx="45">
                  <c:v>135</c:v>
                </c:pt>
                <c:pt idx="46">
                  <c:v>138</c:v>
                </c:pt>
                <c:pt idx="47">
                  <c:v>141</c:v>
                </c:pt>
                <c:pt idx="48">
                  <c:v>144</c:v>
                </c:pt>
                <c:pt idx="49">
                  <c:v>147</c:v>
                </c:pt>
                <c:pt idx="50">
                  <c:v>150</c:v>
                </c:pt>
                <c:pt idx="51">
                  <c:v>153</c:v>
                </c:pt>
                <c:pt idx="52">
                  <c:v>156</c:v>
                </c:pt>
                <c:pt idx="53">
                  <c:v>159</c:v>
                </c:pt>
                <c:pt idx="54">
                  <c:v>162</c:v>
                </c:pt>
                <c:pt idx="55">
                  <c:v>165</c:v>
                </c:pt>
                <c:pt idx="56">
                  <c:v>168</c:v>
                </c:pt>
                <c:pt idx="57">
                  <c:v>170.99999999999997</c:v>
                </c:pt>
                <c:pt idx="58">
                  <c:v>174</c:v>
                </c:pt>
                <c:pt idx="59">
                  <c:v>177</c:v>
                </c:pt>
                <c:pt idx="60">
                  <c:v>180</c:v>
                </c:pt>
                <c:pt idx="61">
                  <c:v>183</c:v>
                </c:pt>
                <c:pt idx="62">
                  <c:v>186</c:v>
                </c:pt>
                <c:pt idx="63">
                  <c:v>189</c:v>
                </c:pt>
                <c:pt idx="64">
                  <c:v>192</c:v>
                </c:pt>
                <c:pt idx="65">
                  <c:v>195</c:v>
                </c:pt>
                <c:pt idx="66">
                  <c:v>198</c:v>
                </c:pt>
                <c:pt idx="67">
                  <c:v>201</c:v>
                </c:pt>
                <c:pt idx="68">
                  <c:v>204.00000000000003</c:v>
                </c:pt>
                <c:pt idx="69">
                  <c:v>207</c:v>
                </c:pt>
                <c:pt idx="70">
                  <c:v>210</c:v>
                </c:pt>
                <c:pt idx="71">
                  <c:v>213</c:v>
                </c:pt>
                <c:pt idx="72">
                  <c:v>216</c:v>
                </c:pt>
                <c:pt idx="73">
                  <c:v>219</c:v>
                </c:pt>
                <c:pt idx="74">
                  <c:v>222</c:v>
                </c:pt>
                <c:pt idx="75">
                  <c:v>224.99999999999997</c:v>
                </c:pt>
                <c:pt idx="76">
                  <c:v>227.99999999999997</c:v>
                </c:pt>
                <c:pt idx="77">
                  <c:v>230.99999999999997</c:v>
                </c:pt>
                <c:pt idx="78">
                  <c:v>234</c:v>
                </c:pt>
                <c:pt idx="79">
                  <c:v>237</c:v>
                </c:pt>
                <c:pt idx="80">
                  <c:v>240</c:v>
                </c:pt>
                <c:pt idx="81">
                  <c:v>243</c:v>
                </c:pt>
                <c:pt idx="82">
                  <c:v>245.99999999999997</c:v>
                </c:pt>
                <c:pt idx="83">
                  <c:v>248.99999999999997</c:v>
                </c:pt>
                <c:pt idx="84">
                  <c:v>252</c:v>
                </c:pt>
                <c:pt idx="85">
                  <c:v>255</c:v>
                </c:pt>
                <c:pt idx="86">
                  <c:v>258</c:v>
                </c:pt>
                <c:pt idx="87">
                  <c:v>261</c:v>
                </c:pt>
                <c:pt idx="88">
                  <c:v>264</c:v>
                </c:pt>
                <c:pt idx="89">
                  <c:v>267</c:v>
                </c:pt>
                <c:pt idx="90">
                  <c:v>270</c:v>
                </c:pt>
                <c:pt idx="91">
                  <c:v>273</c:v>
                </c:pt>
                <c:pt idx="92">
                  <c:v>276</c:v>
                </c:pt>
                <c:pt idx="93">
                  <c:v>279</c:v>
                </c:pt>
                <c:pt idx="94">
                  <c:v>282</c:v>
                </c:pt>
                <c:pt idx="95">
                  <c:v>285</c:v>
                </c:pt>
                <c:pt idx="96">
                  <c:v>288</c:v>
                </c:pt>
                <c:pt idx="97">
                  <c:v>291</c:v>
                </c:pt>
                <c:pt idx="98">
                  <c:v>294</c:v>
                </c:pt>
                <c:pt idx="99">
                  <c:v>297</c:v>
                </c:pt>
                <c:pt idx="100">
                  <c:v>300</c:v>
                </c:pt>
              </c:numCache>
            </c:numRef>
          </c:cat>
          <c:val>
            <c:numRef>
              <c:f>'Calculations - Single'!$CB$216:$CB$316</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ser>
        <c:dLbls>
          <c:showLegendKey val="0"/>
          <c:showVal val="0"/>
          <c:showCatName val="0"/>
          <c:showSerName val="0"/>
          <c:showPercent val="0"/>
          <c:showBubbleSize val="0"/>
        </c:dLbls>
        <c:marker val="1"/>
        <c:smooth val="0"/>
        <c:axId val="139625984"/>
        <c:axId val="139640832"/>
      </c:lineChart>
      <c:catAx>
        <c:axId val="139625984"/>
        <c:scaling>
          <c:orientation val="minMax"/>
        </c:scaling>
        <c:delete val="0"/>
        <c:axPos val="b"/>
        <c:majorGridlines>
          <c:spPr>
            <a:ln w="15875">
              <a:solidFill>
                <a:srgbClr val="969696"/>
              </a:solidFill>
              <a:prstDash val="sysDash"/>
            </a:ln>
          </c:spPr>
        </c:majorGridlines>
        <c:title>
          <c:tx>
            <c:rich>
              <a:bodyPr/>
              <a:lstStyle/>
              <a:p>
                <a:pPr>
                  <a:defRPr sz="1200" b="1" i="0" u="none" strike="noStrike" baseline="0">
                    <a:solidFill>
                      <a:schemeClr val="tx1"/>
                    </a:solidFill>
                    <a:latin typeface="Arial" pitchFamily="34" charset="0"/>
                    <a:ea typeface="Calibri"/>
                    <a:cs typeface="Arial" pitchFamily="34" charset="0"/>
                  </a:defRPr>
                </a:pPr>
                <a:r>
                  <a:rPr lang="en-US" sz="1200">
                    <a:solidFill>
                      <a:schemeClr val="tx1"/>
                    </a:solidFill>
                    <a:latin typeface="Arial" pitchFamily="34" charset="0"/>
                    <a:cs typeface="Arial" pitchFamily="34" charset="0"/>
                  </a:rPr>
                  <a:t>Load Current (mA)</a:t>
                </a:r>
              </a:p>
            </c:rich>
          </c:tx>
          <c:layout>
            <c:manualLayout>
              <c:xMode val="edge"/>
              <c:yMode val="edge"/>
              <c:x val="0.45424135936496307"/>
              <c:y val="0.9410669161053864"/>
            </c:manualLayout>
          </c:layout>
          <c:overlay val="0"/>
          <c:spPr>
            <a:noFill/>
            <a:ln w="25400">
              <a:noFill/>
            </a:ln>
          </c:spPr>
        </c:title>
        <c:numFmt formatCode="0" sourceLinked="1"/>
        <c:majorTickMark val="in"/>
        <c:minorTickMark val="in"/>
        <c:tickLblPos val="nextTo"/>
        <c:spPr>
          <a:ln w="3175">
            <a:solidFill>
              <a:schemeClr val="tx1"/>
            </a:solidFill>
            <a:prstDash val="solid"/>
          </a:ln>
        </c:spPr>
        <c:txPr>
          <a:bodyPr rot="0" vert="horz"/>
          <a:lstStyle/>
          <a:p>
            <a:pPr>
              <a:defRPr sz="1100" b="1" i="0" u="none" strike="noStrike" baseline="0">
                <a:solidFill>
                  <a:schemeClr val="tx1"/>
                </a:solidFill>
                <a:latin typeface="Arial" pitchFamily="34" charset="0"/>
                <a:ea typeface="Calibri"/>
                <a:cs typeface="Arial" pitchFamily="34" charset="0"/>
              </a:defRPr>
            </a:pPr>
            <a:endParaRPr lang="ko-KR"/>
          </a:p>
        </c:txPr>
        <c:crossAx val="139640832"/>
        <c:crosses val="autoZero"/>
        <c:auto val="1"/>
        <c:lblAlgn val="ctr"/>
        <c:lblOffset val="100"/>
        <c:tickLblSkip val="20"/>
        <c:tickMarkSkip val="10"/>
        <c:noMultiLvlLbl val="0"/>
      </c:catAx>
      <c:valAx>
        <c:axId val="139640832"/>
        <c:scaling>
          <c:orientation val="minMax"/>
          <c:max val="400"/>
          <c:min val="0"/>
        </c:scaling>
        <c:delete val="0"/>
        <c:axPos val="l"/>
        <c:majorGridlines>
          <c:spPr>
            <a:ln w="15875">
              <a:solidFill>
                <a:srgbClr val="808080"/>
              </a:solidFill>
              <a:prstDash val="solid"/>
            </a:ln>
          </c:spPr>
        </c:majorGridlines>
        <c:title>
          <c:tx>
            <c:rich>
              <a:bodyPr/>
              <a:lstStyle/>
              <a:p>
                <a:pPr>
                  <a:defRPr sz="1400" b="1" i="0" u="none" strike="noStrike" baseline="0">
                    <a:solidFill>
                      <a:schemeClr val="tx1"/>
                    </a:solidFill>
                    <a:latin typeface="Arial" pitchFamily="34" charset="0"/>
                    <a:ea typeface="Calibri"/>
                    <a:cs typeface="Arial" pitchFamily="34" charset="0"/>
                  </a:defRPr>
                </a:pPr>
                <a:r>
                  <a:rPr lang="en-US" sz="1200" b="1">
                    <a:solidFill>
                      <a:schemeClr val="tx1"/>
                    </a:solidFill>
                    <a:latin typeface="Arial" pitchFamily="34" charset="0"/>
                    <a:cs typeface="Arial" pitchFamily="34" charset="0"/>
                  </a:rPr>
                  <a:t>Switching</a:t>
                </a:r>
                <a:r>
                  <a:rPr lang="en-US" sz="1200" b="1" baseline="0">
                    <a:solidFill>
                      <a:schemeClr val="tx1"/>
                    </a:solidFill>
                    <a:latin typeface="Arial" pitchFamily="34" charset="0"/>
                    <a:cs typeface="Arial" pitchFamily="34" charset="0"/>
                  </a:rPr>
                  <a:t> Frquency (kHz)</a:t>
                </a:r>
                <a:endParaRPr lang="en-US" sz="1200" b="1">
                  <a:solidFill>
                    <a:schemeClr val="tx1"/>
                  </a:solidFill>
                  <a:latin typeface="Arial" pitchFamily="34" charset="0"/>
                  <a:cs typeface="Arial" pitchFamily="34" charset="0"/>
                </a:endParaRPr>
              </a:p>
            </c:rich>
          </c:tx>
          <c:layout>
            <c:manualLayout>
              <c:xMode val="edge"/>
              <c:yMode val="edge"/>
              <c:x val="8.5568268367748525E-3"/>
              <c:y val="0.30050661099568304"/>
            </c:manualLayout>
          </c:layout>
          <c:overlay val="0"/>
          <c:spPr>
            <a:noFill/>
            <a:ln w="25400">
              <a:noFill/>
            </a:ln>
          </c:spPr>
        </c:title>
        <c:numFmt formatCode="#,##0" sourceLinked="0"/>
        <c:majorTickMark val="out"/>
        <c:minorTickMark val="in"/>
        <c:tickLblPos val="nextTo"/>
        <c:spPr>
          <a:ln w="3175">
            <a:solidFill>
              <a:srgbClr val="000000"/>
            </a:solidFill>
            <a:prstDash val="solid"/>
          </a:ln>
        </c:spPr>
        <c:txPr>
          <a:bodyPr rot="0" vert="horz"/>
          <a:lstStyle/>
          <a:p>
            <a:pPr>
              <a:defRPr sz="1100" b="1" i="0" u="none" strike="noStrike" baseline="0">
                <a:solidFill>
                  <a:schemeClr val="tx1"/>
                </a:solidFill>
                <a:latin typeface="Arial" pitchFamily="34" charset="0"/>
                <a:ea typeface="Calibri"/>
                <a:cs typeface="Arial" pitchFamily="34" charset="0"/>
              </a:defRPr>
            </a:pPr>
            <a:endParaRPr lang="ko-KR"/>
          </a:p>
        </c:txPr>
        <c:crossAx val="139625984"/>
        <c:crossesAt val="0"/>
        <c:crossBetween val="between"/>
        <c:majorUnit val="50"/>
        <c:minorUnit val="25"/>
      </c:valAx>
      <c:spPr>
        <a:solidFill>
          <a:srgbClr val="FFFFFF"/>
        </a:solidFill>
        <a:ln w="25400">
          <a:noFill/>
        </a:ln>
      </c:spPr>
    </c:plotArea>
    <c:legend>
      <c:legendPos val="t"/>
      <c:legendEntry>
        <c:idx val="3"/>
        <c:delete val="1"/>
      </c:legendEntry>
      <c:legendEntry>
        <c:idx val="4"/>
        <c:delete val="1"/>
      </c:legendEntry>
      <c:legendEntry>
        <c:idx val="5"/>
        <c:delete val="1"/>
      </c:legendEntry>
      <c:layout>
        <c:manualLayout>
          <c:xMode val="edge"/>
          <c:yMode val="edge"/>
          <c:x val="0.30119952469789996"/>
          <c:y val="2.20093690871901E-2"/>
          <c:w val="0.4533572736110989"/>
          <c:h val="5.4335766847817754E-2"/>
        </c:manualLayout>
      </c:layout>
      <c:overlay val="0"/>
      <c:spPr>
        <a:solidFill>
          <a:srgbClr val="FFFFFF"/>
        </a:solidFill>
        <a:ln w="25400">
          <a:noFill/>
        </a:ln>
      </c:spPr>
      <c:txPr>
        <a:bodyPr/>
        <a:lstStyle/>
        <a:p>
          <a:pPr>
            <a:defRPr sz="1400" b="0" i="0" u="none" strike="noStrike" baseline="0">
              <a:solidFill>
                <a:srgbClr val="000000"/>
              </a:solidFill>
              <a:latin typeface="Arial" pitchFamily="34" charset="0"/>
              <a:ea typeface="Calibri"/>
              <a:cs typeface="Arial" pitchFamily="34" charset="0"/>
            </a:defRPr>
          </a:pPr>
          <a:endParaRPr lang="ko-KR"/>
        </a:p>
      </c:txPr>
    </c:legend>
    <c:plotVisOnly val="1"/>
    <c:dispBlanksAs val="gap"/>
    <c:showDLblsOverMax val="0"/>
  </c:chart>
  <c:spPr>
    <a:solidFill>
      <a:srgbClr val="FFFFFF"/>
    </a:solidFill>
    <a:ln w="9525">
      <a:solidFill>
        <a:srgbClr val="808080"/>
      </a:solidFill>
    </a:ln>
  </c:spPr>
  <c:txPr>
    <a:bodyPr/>
    <a:lstStyle/>
    <a:p>
      <a:pPr>
        <a:defRPr sz="850" b="0" i="0" u="none" strike="noStrike" baseline="0">
          <a:solidFill>
            <a:srgbClr val="000000"/>
          </a:solidFill>
          <a:latin typeface="Arial"/>
          <a:ea typeface="Arial"/>
          <a:cs typeface="Arial"/>
        </a:defRPr>
      </a:pPr>
      <a:endParaRPr lang="ko-KR"/>
    </a:p>
  </c:txPr>
  <c:printSettings>
    <c:headerFooter alignWithMargins="0"/>
    <c:pageMargins b="1" l="0.750000000000006" r="0.750000000000006" t="1" header="0.5" footer="0.5"/>
    <c:pageSetup paperSize="5"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ko-K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280746883383756E-2"/>
          <c:y val="0.12133523343001466"/>
          <c:w val="0.86047278973849184"/>
          <c:h val="0.7558980268938309"/>
        </c:manualLayout>
      </c:layout>
      <c:lineChart>
        <c:grouping val="standard"/>
        <c:varyColors val="0"/>
        <c:ser>
          <c:idx val="1"/>
          <c:order val="0"/>
          <c:tx>
            <c:v>VIN-min</c:v>
          </c:tx>
          <c:spPr>
            <a:ln>
              <a:solidFill>
                <a:srgbClr val="00B050"/>
              </a:solidFill>
              <a:prstDash val="sysDash"/>
            </a:ln>
          </c:spPr>
          <c:marker>
            <c:symbol val="none"/>
          </c:marker>
          <c:cat>
            <c:numRef>
              <c:f>'Calculations - Dual'!$BZ$5:$BZ$105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11.000000000000002</c:v>
                </c:pt>
                <c:pt idx="12">
                  <c:v>12</c:v>
                </c:pt>
                <c:pt idx="13">
                  <c:v>13</c:v>
                </c:pt>
                <c:pt idx="14">
                  <c:v>14.000000000000002</c:v>
                </c:pt>
                <c:pt idx="15">
                  <c:v>15</c:v>
                </c:pt>
                <c:pt idx="16">
                  <c:v>16</c:v>
                </c:pt>
                <c:pt idx="17">
                  <c:v>17</c:v>
                </c:pt>
                <c:pt idx="18">
                  <c:v>18</c:v>
                </c:pt>
                <c:pt idx="19">
                  <c:v>19</c:v>
                </c:pt>
                <c:pt idx="20">
                  <c:v>20</c:v>
                </c:pt>
                <c:pt idx="21">
                  <c:v>21.000000000000004</c:v>
                </c:pt>
                <c:pt idx="22">
                  <c:v>22.000000000000004</c:v>
                </c:pt>
                <c:pt idx="23">
                  <c:v>23.000000000000004</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42.000000000000007</c:v>
                </c:pt>
                <c:pt idx="43">
                  <c:v>43.000000000000007</c:v>
                </c:pt>
                <c:pt idx="44">
                  <c:v>44.000000000000007</c:v>
                </c:pt>
                <c:pt idx="45">
                  <c:v>45.000000000000007</c:v>
                </c:pt>
                <c:pt idx="46">
                  <c:v>46.000000000000007</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84.000000000000014</c:v>
                </c:pt>
                <c:pt idx="85">
                  <c:v>85.000000000000014</c:v>
                </c:pt>
                <c:pt idx="86">
                  <c:v>86.000000000000014</c:v>
                </c:pt>
                <c:pt idx="87">
                  <c:v>87.000000000000014</c:v>
                </c:pt>
                <c:pt idx="88">
                  <c:v>88.000000000000014</c:v>
                </c:pt>
                <c:pt idx="89">
                  <c:v>89.000000000000014</c:v>
                </c:pt>
                <c:pt idx="90">
                  <c:v>90.000000000000014</c:v>
                </c:pt>
                <c:pt idx="91">
                  <c:v>91.000000000000014</c:v>
                </c:pt>
                <c:pt idx="92">
                  <c:v>92.000000000000014</c:v>
                </c:pt>
                <c:pt idx="93">
                  <c:v>93.000000000000014</c:v>
                </c:pt>
                <c:pt idx="94">
                  <c:v>94</c:v>
                </c:pt>
                <c:pt idx="95">
                  <c:v>95</c:v>
                </c:pt>
                <c:pt idx="96">
                  <c:v>96</c:v>
                </c:pt>
                <c:pt idx="97">
                  <c:v>97</c:v>
                </c:pt>
                <c:pt idx="98">
                  <c:v>98</c:v>
                </c:pt>
                <c:pt idx="99">
                  <c:v>99</c:v>
                </c:pt>
                <c:pt idx="100">
                  <c:v>100</c:v>
                </c:pt>
              </c:numCache>
            </c:numRef>
          </c:cat>
          <c:val>
            <c:numRef>
              <c:f>'Calculations - Dual'!$AM$110:$AM$210</c:f>
              <c:numCache>
                <c:formatCode>0.0</c:formatCode>
                <c:ptCount val="101"/>
                <c:pt idx="0">
                  <c:v>10</c:v>
                </c:pt>
                <c:pt idx="1">
                  <c:v>27.199762187871581</c:v>
                </c:pt>
                <c:pt idx="2">
                  <c:v>54.399524375743162</c:v>
                </c:pt>
                <c:pt idx="3">
                  <c:v>81.599286563614726</c:v>
                </c:pt>
                <c:pt idx="4">
                  <c:v>108.79904875148632</c:v>
                </c:pt>
                <c:pt idx="5">
                  <c:v>135.9988109393579</c:v>
                </c:pt>
                <c:pt idx="6">
                  <c:v>163.19857312722945</c:v>
                </c:pt>
                <c:pt idx="7">
                  <c:v>190.39833531510109</c:v>
                </c:pt>
                <c:pt idx="8">
                  <c:v>217.59809750297265</c:v>
                </c:pt>
                <c:pt idx="9">
                  <c:v>244.79785969084423</c:v>
                </c:pt>
                <c:pt idx="10">
                  <c:v>271.99762187871579</c:v>
                </c:pt>
                <c:pt idx="11">
                  <c:v>299.1973840665874</c:v>
                </c:pt>
                <c:pt idx="12">
                  <c:v>326.3971462544589</c:v>
                </c:pt>
                <c:pt idx="13">
                  <c:v>288.69270923277054</c:v>
                </c:pt>
                <c:pt idx="14">
                  <c:v>268.07180143042973</c:v>
                </c:pt>
                <c:pt idx="15">
                  <c:v>250.20034800173451</c:v>
                </c:pt>
                <c:pt idx="16">
                  <c:v>234.56282625162609</c:v>
                </c:pt>
                <c:pt idx="17">
                  <c:v>220.7650129427069</c:v>
                </c:pt>
                <c:pt idx="18">
                  <c:v>208.50029000144542</c:v>
                </c:pt>
                <c:pt idx="19">
                  <c:v>197.52659052768516</c:v>
                </c:pt>
                <c:pt idx="20">
                  <c:v>187.65026100130086</c:v>
                </c:pt>
                <c:pt idx="21">
                  <c:v>178.71453428695321</c:v>
                </c:pt>
                <c:pt idx="22">
                  <c:v>170.59114636481894</c:v>
                </c:pt>
                <c:pt idx="23">
                  <c:v>163.17414000113115</c:v>
                </c:pt>
                <c:pt idx="24">
                  <c:v>156.37521750108408</c:v>
                </c:pt>
                <c:pt idx="25">
                  <c:v>150.12020880104066</c:v>
                </c:pt>
                <c:pt idx="26">
                  <c:v>144.34635461638527</c:v>
                </c:pt>
                <c:pt idx="27">
                  <c:v>139.00019333429694</c:v>
                </c:pt>
                <c:pt idx="28">
                  <c:v>134.03590071521486</c:v>
                </c:pt>
                <c:pt idx="29">
                  <c:v>129.41397310434542</c:v>
                </c:pt>
                <c:pt idx="30">
                  <c:v>125.10017400086726</c:v>
                </c:pt>
                <c:pt idx="31">
                  <c:v>121.06468451696827</c:v>
                </c:pt>
                <c:pt idx="32">
                  <c:v>117.28141312581305</c:v>
                </c:pt>
                <c:pt idx="33">
                  <c:v>113.7274309098793</c:v>
                </c:pt>
                <c:pt idx="34">
                  <c:v>110.38250647135345</c:v>
                </c:pt>
                <c:pt idx="35">
                  <c:v>107.22872057217191</c:v>
                </c:pt>
                <c:pt idx="36">
                  <c:v>104.25014500072271</c:v>
                </c:pt>
                <c:pt idx="37">
                  <c:v>101.4325735142167</c:v>
                </c:pt>
                <c:pt idx="38">
                  <c:v>98.763295263842579</c:v>
                </c:pt>
                <c:pt idx="39">
                  <c:v>96.230903077590185</c:v>
                </c:pt>
                <c:pt idx="40">
                  <c:v>93.825130500650431</c:v>
                </c:pt>
                <c:pt idx="41">
                  <c:v>91.53671268356139</c:v>
                </c:pt>
                <c:pt idx="42">
                  <c:v>89.357267143476605</c:v>
                </c:pt>
                <c:pt idx="43">
                  <c:v>87.279191163395737</c:v>
                </c:pt>
                <c:pt idx="44">
                  <c:v>85.29557318240947</c:v>
                </c:pt>
                <c:pt idx="45">
                  <c:v>83.400116000578166</c:v>
                </c:pt>
                <c:pt idx="46">
                  <c:v>82.366063560073954</c:v>
                </c:pt>
                <c:pt idx="47">
                  <c:v>81.810907289115875</c:v>
                </c:pt>
                <c:pt idx="48">
                  <c:v>81.263577336392643</c:v>
                </c:pt>
                <c:pt idx="49">
                  <c:v>80.723909362949655</c:v>
                </c:pt>
                <c:pt idx="50">
                  <c:v>80.191743598957501</c:v>
                </c:pt>
                <c:pt idx="51">
                  <c:v>79.666924686013544</c:v>
                </c:pt>
                <c:pt idx="52">
                  <c:v>79.149301525929971</c:v>
                </c:pt>
                <c:pt idx="53">
                  <c:v>78.638727135699412</c:v>
                </c:pt>
                <c:pt idx="54">
                  <c:v>78.135058508345494</c:v>
                </c:pt>
                <c:pt idx="55">
                  <c:v>77.638156479381607</c:v>
                </c:pt>
                <c:pt idx="56">
                  <c:v>77.147885598616028</c:v>
                </c:pt>
                <c:pt idx="57">
                  <c:v>76.66411400705536</c:v>
                </c:pt>
                <c:pt idx="58">
                  <c:v>76.186713318671025</c:v>
                </c:pt>
                <c:pt idx="59">
                  <c:v>75.715558506806616</c:v>
                </c:pt>
                <c:pt idx="60">
                  <c:v>75.250527795014506</c:v>
                </c:pt>
                <c:pt idx="61">
                  <c:v>74.791502552121784</c:v>
                </c:pt>
                <c:pt idx="62">
                  <c:v>74.338367191335493</c:v>
                </c:pt>
                <c:pt idx="63">
                  <c:v>73.891009073206902</c:v>
                </c:pt>
                <c:pt idx="64">
                  <c:v>73.449318412283816</c:v>
                </c:pt>
                <c:pt idx="65">
                  <c:v>73.013188187288293</c:v>
                </c:pt>
                <c:pt idx="66">
                  <c:v>72.58251405466541</c:v>
                </c:pt>
                <c:pt idx="67">
                  <c:v>72.157194265356509</c:v>
                </c:pt>
                <c:pt idx="68">
                  <c:v>71.737129584657453</c:v>
                </c:pt>
                <c:pt idx="69">
                  <c:v>71.322223215029055</c:v>
                </c:pt>
                <c:pt idx="70">
                  <c:v>70.91238072173401</c:v>
                </c:pt>
                <c:pt idx="71">
                  <c:v>70.50750996117992</c:v>
                </c:pt>
                <c:pt idx="72">
                  <c:v>70.107521011854502</c:v>
                </c:pt>
                <c:pt idx="73">
                  <c:v>69.71232610774392</c:v>
                </c:pt>
                <c:pt idx="74">
                  <c:v>69.321839574131175</c:v>
                </c:pt>
                <c:pt idx="75">
                  <c:v>68.935977765675332</c:v>
                </c:pt>
                <c:pt idx="76">
                  <c:v>68.554659006678023</c:v>
                </c:pt>
                <c:pt idx="77">
                  <c:v>68.177803533447417</c:v>
                </c:pt>
                <c:pt idx="78">
                  <c:v>67.80533343867431</c:v>
                </c:pt>
                <c:pt idx="79">
                  <c:v>67.437172617738838</c:v>
                </c:pt>
                <c:pt idx="80">
                  <c:v>67.073246716869974</c:v>
                </c:pt>
                <c:pt idx="81">
                  <c:v>66.713483083083887</c:v>
                </c:pt>
                <c:pt idx="82">
                  <c:v>66.357810715830198</c:v>
                </c:pt>
                <c:pt idx="83">
                  <c:v>66.006160220278389</c:v>
                </c:pt>
                <c:pt idx="84">
                  <c:v>65.65846376218019</c:v>
                </c:pt>
                <c:pt idx="85">
                  <c:v>65.314655024246022</c:v>
                </c:pt>
                <c:pt idx="86">
                  <c:v>64.974669163976486</c:v>
                </c:pt>
                <c:pt idx="87">
                  <c:v>64.638442772892915</c:v>
                </c:pt>
                <c:pt idx="88">
                  <c:v>64.305913837112797</c:v>
                </c:pt>
                <c:pt idx="89">
                  <c:v>63.977021699218746</c:v>
                </c:pt>
                <c:pt idx="90">
                  <c:v>63.65170702137182</c:v>
                </c:pt>
                <c:pt idx="91">
                  <c:v>63.329911749621978</c:v>
                </c:pt>
                <c:pt idx="92">
                  <c:v>63.011579079370662</c:v>
                </c:pt>
                <c:pt idx="93">
                  <c:v>62.69665342194218</c:v>
                </c:pt>
                <c:pt idx="94">
                  <c:v>62.385080372222916</c:v>
                </c:pt>
                <c:pt idx="95">
                  <c:v>62.076806677328321</c:v>
                </c:pt>
                <c:pt idx="96">
                  <c:v>61.771780206260367</c:v>
                </c:pt>
                <c:pt idx="97">
                  <c:v>61.469949920518438</c:v>
                </c:pt>
                <c:pt idx="98">
                  <c:v>61.171265845629641</c:v>
                </c:pt>
                <c:pt idx="99">
                  <c:v>60.875679043564467</c:v>
                </c:pt>
                <c:pt idx="100">
                  <c:v>60.583141586006448</c:v>
                </c:pt>
              </c:numCache>
            </c:numRef>
          </c:val>
          <c:smooth val="0"/>
        </c:ser>
        <c:ser>
          <c:idx val="0"/>
          <c:order val="1"/>
          <c:tx>
            <c:v>VIN-nom</c:v>
          </c:tx>
          <c:spPr>
            <a:ln w="28575">
              <a:solidFill>
                <a:srgbClr val="FF0000"/>
              </a:solidFill>
              <a:prstDash val="lgDash"/>
            </a:ln>
          </c:spPr>
          <c:marker>
            <c:symbol val="none"/>
          </c:marker>
          <c:cat>
            <c:numRef>
              <c:f>'Calculations - Dual'!$BZ$5:$BZ$105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11.000000000000002</c:v>
                </c:pt>
                <c:pt idx="12">
                  <c:v>12</c:v>
                </c:pt>
                <c:pt idx="13">
                  <c:v>13</c:v>
                </c:pt>
                <c:pt idx="14">
                  <c:v>14.000000000000002</c:v>
                </c:pt>
                <c:pt idx="15">
                  <c:v>15</c:v>
                </c:pt>
                <c:pt idx="16">
                  <c:v>16</c:v>
                </c:pt>
                <c:pt idx="17">
                  <c:v>17</c:v>
                </c:pt>
                <c:pt idx="18">
                  <c:v>18</c:v>
                </c:pt>
                <c:pt idx="19">
                  <c:v>19</c:v>
                </c:pt>
                <c:pt idx="20">
                  <c:v>20</c:v>
                </c:pt>
                <c:pt idx="21">
                  <c:v>21.000000000000004</c:v>
                </c:pt>
                <c:pt idx="22">
                  <c:v>22.000000000000004</c:v>
                </c:pt>
                <c:pt idx="23">
                  <c:v>23.000000000000004</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42.000000000000007</c:v>
                </c:pt>
                <c:pt idx="43">
                  <c:v>43.000000000000007</c:v>
                </c:pt>
                <c:pt idx="44">
                  <c:v>44.000000000000007</c:v>
                </c:pt>
                <c:pt idx="45">
                  <c:v>45.000000000000007</c:v>
                </c:pt>
                <c:pt idx="46">
                  <c:v>46.000000000000007</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84.000000000000014</c:v>
                </c:pt>
                <c:pt idx="85">
                  <c:v>85.000000000000014</c:v>
                </c:pt>
                <c:pt idx="86">
                  <c:v>86.000000000000014</c:v>
                </c:pt>
                <c:pt idx="87">
                  <c:v>87.000000000000014</c:v>
                </c:pt>
                <c:pt idx="88">
                  <c:v>88.000000000000014</c:v>
                </c:pt>
                <c:pt idx="89">
                  <c:v>89.000000000000014</c:v>
                </c:pt>
                <c:pt idx="90">
                  <c:v>90.000000000000014</c:v>
                </c:pt>
                <c:pt idx="91">
                  <c:v>91.000000000000014</c:v>
                </c:pt>
                <c:pt idx="92">
                  <c:v>92.000000000000014</c:v>
                </c:pt>
                <c:pt idx="93">
                  <c:v>93.000000000000014</c:v>
                </c:pt>
                <c:pt idx="94">
                  <c:v>94</c:v>
                </c:pt>
                <c:pt idx="95">
                  <c:v>95</c:v>
                </c:pt>
                <c:pt idx="96">
                  <c:v>96</c:v>
                </c:pt>
                <c:pt idx="97">
                  <c:v>97</c:v>
                </c:pt>
                <c:pt idx="98">
                  <c:v>98</c:v>
                </c:pt>
                <c:pt idx="99">
                  <c:v>99</c:v>
                </c:pt>
                <c:pt idx="100">
                  <c:v>100</c:v>
                </c:pt>
              </c:numCache>
            </c:numRef>
          </c:cat>
          <c:val>
            <c:numRef>
              <c:f>'Calculations - Dual'!$AM$5:$AM$105</c:f>
              <c:numCache>
                <c:formatCode>0.0</c:formatCode>
                <c:ptCount val="101"/>
                <c:pt idx="0">
                  <c:v>10</c:v>
                </c:pt>
                <c:pt idx="1">
                  <c:v>27.199762187871581</c:v>
                </c:pt>
                <c:pt idx="2">
                  <c:v>54.399524375743162</c:v>
                </c:pt>
                <c:pt idx="3">
                  <c:v>81.599286563614726</c:v>
                </c:pt>
                <c:pt idx="4">
                  <c:v>108.79904875148632</c:v>
                </c:pt>
                <c:pt idx="5">
                  <c:v>135.9988109393579</c:v>
                </c:pt>
                <c:pt idx="6">
                  <c:v>163.19857312722945</c:v>
                </c:pt>
                <c:pt idx="7">
                  <c:v>190.39833531510109</c:v>
                </c:pt>
                <c:pt idx="8">
                  <c:v>217.59809750297265</c:v>
                </c:pt>
                <c:pt idx="9">
                  <c:v>244.79785969084423</c:v>
                </c:pt>
                <c:pt idx="10">
                  <c:v>271.99762187871579</c:v>
                </c:pt>
                <c:pt idx="11">
                  <c:v>299.1973840665874</c:v>
                </c:pt>
                <c:pt idx="12">
                  <c:v>326.3971462544589</c:v>
                </c:pt>
                <c:pt idx="13">
                  <c:v>350</c:v>
                </c:pt>
                <c:pt idx="14">
                  <c:v>350</c:v>
                </c:pt>
                <c:pt idx="15">
                  <c:v>350</c:v>
                </c:pt>
                <c:pt idx="16">
                  <c:v>350</c:v>
                </c:pt>
                <c:pt idx="17">
                  <c:v>350</c:v>
                </c:pt>
                <c:pt idx="18">
                  <c:v>350</c:v>
                </c:pt>
                <c:pt idx="19">
                  <c:v>350</c:v>
                </c:pt>
                <c:pt idx="20">
                  <c:v>350</c:v>
                </c:pt>
                <c:pt idx="21">
                  <c:v>350</c:v>
                </c:pt>
                <c:pt idx="22">
                  <c:v>334.23345408502564</c:v>
                </c:pt>
                <c:pt idx="23">
                  <c:v>319.701564776981</c:v>
                </c:pt>
                <c:pt idx="24">
                  <c:v>306.38066624460686</c:v>
                </c:pt>
                <c:pt idx="25">
                  <c:v>294.12543959482258</c:v>
                </c:pt>
                <c:pt idx="26">
                  <c:v>282.81292268732943</c:v>
                </c:pt>
                <c:pt idx="27">
                  <c:v>272.33836999520605</c:v>
                </c:pt>
                <c:pt idx="28">
                  <c:v>262.61199963823447</c:v>
                </c:pt>
                <c:pt idx="29">
                  <c:v>253.55641344381257</c:v>
                </c:pt>
                <c:pt idx="30">
                  <c:v>245.10453299568553</c:v>
                </c:pt>
                <c:pt idx="31">
                  <c:v>237.1979351571149</c:v>
                </c:pt>
                <c:pt idx="32">
                  <c:v>229.7854996834551</c:v>
                </c:pt>
                <c:pt idx="33">
                  <c:v>222.82230272335045</c:v>
                </c:pt>
                <c:pt idx="34">
                  <c:v>216.26870558442837</c:v>
                </c:pt>
                <c:pt idx="35">
                  <c:v>210.08959971058755</c:v>
                </c:pt>
                <c:pt idx="36">
                  <c:v>204.25377749640455</c:v>
                </c:pt>
                <c:pt idx="37">
                  <c:v>198.73340513163691</c:v>
                </c:pt>
                <c:pt idx="38">
                  <c:v>193.50357868080437</c:v>
                </c:pt>
                <c:pt idx="39">
                  <c:v>188.54194845821957</c:v>
                </c:pt>
                <c:pt idx="40">
                  <c:v>183.82839974676412</c:v>
                </c:pt>
                <c:pt idx="41">
                  <c:v>179.34478024074548</c:v>
                </c:pt>
                <c:pt idx="42">
                  <c:v>175.07466642548962</c:v>
                </c:pt>
                <c:pt idx="43">
                  <c:v>171.00316255512939</c:v>
                </c:pt>
                <c:pt idx="44">
                  <c:v>167.11672704251282</c:v>
                </c:pt>
                <c:pt idx="45">
                  <c:v>163.4030219971236</c:v>
                </c:pt>
                <c:pt idx="46">
                  <c:v>159.8507823884905</c:v>
                </c:pt>
                <c:pt idx="47">
                  <c:v>156.44970191213969</c:v>
                </c:pt>
                <c:pt idx="48">
                  <c:v>153.19033312230343</c:v>
                </c:pt>
                <c:pt idx="49">
                  <c:v>150.06399979327679</c:v>
                </c:pt>
                <c:pt idx="50">
                  <c:v>147.06271979741129</c:v>
                </c:pt>
                <c:pt idx="51">
                  <c:v>144.17913705628558</c:v>
                </c:pt>
                <c:pt idx="52">
                  <c:v>141.40646134366472</c:v>
                </c:pt>
                <c:pt idx="53">
                  <c:v>138.73841490321817</c:v>
                </c:pt>
                <c:pt idx="54">
                  <c:v>136.16918499760303</c:v>
                </c:pt>
                <c:pt idx="55">
                  <c:v>133.69338163401028</c:v>
                </c:pt>
                <c:pt idx="56">
                  <c:v>131.30599981911723</c:v>
                </c:pt>
                <c:pt idx="57">
                  <c:v>129.00238578720288</c:v>
                </c:pt>
                <c:pt idx="58">
                  <c:v>126.77820672190629</c:v>
                </c:pt>
                <c:pt idx="59">
                  <c:v>124.62942355712821</c:v>
                </c:pt>
                <c:pt idx="60">
                  <c:v>122.55226649784277</c:v>
                </c:pt>
                <c:pt idx="61">
                  <c:v>120.5432129486978</c:v>
                </c:pt>
                <c:pt idx="62">
                  <c:v>118.59896757855745</c:v>
                </c:pt>
                <c:pt idx="63">
                  <c:v>116.71644428365977</c:v>
                </c:pt>
                <c:pt idx="64">
                  <c:v>115.39752144821379</c:v>
                </c:pt>
                <c:pt idx="65">
                  <c:v>114.61878047373666</c:v>
                </c:pt>
                <c:pt idx="66">
                  <c:v>113.85087320122068</c:v>
                </c:pt>
                <c:pt idx="67">
                  <c:v>113.09357511763859</c:v>
                </c:pt>
                <c:pt idx="68">
                  <c:v>112.34666787101989</c:v>
                </c:pt>
                <c:pt idx="69">
                  <c:v>111.60993906055232</c:v>
                </c:pt>
                <c:pt idx="70">
                  <c:v>110.88318203520618</c:v>
                </c:pt>
                <c:pt idx="71">
                  <c:v>110.16619570048096</c:v>
                </c:pt>
                <c:pt idx="72">
                  <c:v>109.45878433289404</c:v>
                </c:pt>
                <c:pt idx="73">
                  <c:v>108.76075740185246</c:v>
                </c:pt>
                <c:pt idx="74">
                  <c:v>108.07192939856716</c:v>
                </c:pt>
                <c:pt idx="75">
                  <c:v>107.39211967168676</c:v>
                </c:pt>
                <c:pt idx="76">
                  <c:v>106.72115226934496</c:v>
                </c:pt>
                <c:pt idx="77">
                  <c:v>106.05885578733198</c:v>
                </c:pt>
                <c:pt idx="78">
                  <c:v>105.40506322311421</c:v>
                </c:pt>
                <c:pt idx="79">
                  <c:v>104.75961183544109</c:v>
                </c:pt>
                <c:pt idx="80">
                  <c:v>104.12234300929168</c:v>
                </c:pt>
                <c:pt idx="81">
                  <c:v>103.49310212592493</c:v>
                </c:pt>
                <c:pt idx="82">
                  <c:v>102.87173843781054</c:v>
                </c:pt>
                <c:pt idx="83">
                  <c:v>102.25810494822741</c:v>
                </c:pt>
                <c:pt idx="84">
                  <c:v>101.65205829532812</c:v>
                </c:pt>
                <c:pt idx="85">
                  <c:v>101.05345864047723</c:v>
                </c:pt>
                <c:pt idx="86">
                  <c:v>100.46216956068054</c:v>
                </c:pt>
                <c:pt idx="87">
                  <c:v>99.878057944931754</c:v>
                </c:pt>
                <c:pt idx="88">
                  <c:v>99.300993894310935</c:v>
                </c:pt>
                <c:pt idx="89">
                  <c:v>98.730850625677434</c:v>
                </c:pt>
                <c:pt idx="90">
                  <c:v>98.167504378807223</c:v>
                </c:pt>
                <c:pt idx="91">
                  <c:v>97.610834326831565</c:v>
                </c:pt>
                <c:pt idx="92">
                  <c:v>97.060722489841453</c:v>
                </c:pt>
                <c:pt idx="93">
                  <c:v>96.517053651527306</c:v>
                </c:pt>
                <c:pt idx="94">
                  <c:v>95.979715278730851</c:v>
                </c:pt>
                <c:pt idx="95">
                  <c:v>95.448597443790888</c:v>
                </c:pt>
                <c:pt idx="96">
                  <c:v>94.923592749570389</c:v>
                </c:pt>
                <c:pt idx="97">
                  <c:v>94.404596257057591</c:v>
                </c:pt>
                <c:pt idx="98">
                  <c:v>93.891505415438729</c:v>
                </c:pt>
                <c:pt idx="99">
                  <c:v>93.38421999454404</c:v>
                </c:pt>
                <c:pt idx="100">
                  <c:v>92.882642019574249</c:v>
                </c:pt>
              </c:numCache>
            </c:numRef>
          </c:val>
          <c:smooth val="0"/>
        </c:ser>
        <c:ser>
          <c:idx val="2"/>
          <c:order val="2"/>
          <c:tx>
            <c:v>VIN-max</c:v>
          </c:tx>
          <c:spPr>
            <a:ln>
              <a:solidFill>
                <a:srgbClr val="0000FF"/>
              </a:solidFill>
              <a:prstDash val="solid"/>
            </a:ln>
          </c:spPr>
          <c:marker>
            <c:symbol val="none"/>
          </c:marker>
          <c:cat>
            <c:numRef>
              <c:f>'Calculations - Dual'!$BZ$5:$BZ$105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11.000000000000002</c:v>
                </c:pt>
                <c:pt idx="12">
                  <c:v>12</c:v>
                </c:pt>
                <c:pt idx="13">
                  <c:v>13</c:v>
                </c:pt>
                <c:pt idx="14">
                  <c:v>14.000000000000002</c:v>
                </c:pt>
                <c:pt idx="15">
                  <c:v>15</c:v>
                </c:pt>
                <c:pt idx="16">
                  <c:v>16</c:v>
                </c:pt>
                <c:pt idx="17">
                  <c:v>17</c:v>
                </c:pt>
                <c:pt idx="18">
                  <c:v>18</c:v>
                </c:pt>
                <c:pt idx="19">
                  <c:v>19</c:v>
                </c:pt>
                <c:pt idx="20">
                  <c:v>20</c:v>
                </c:pt>
                <c:pt idx="21">
                  <c:v>21.000000000000004</c:v>
                </c:pt>
                <c:pt idx="22">
                  <c:v>22.000000000000004</c:v>
                </c:pt>
                <c:pt idx="23">
                  <c:v>23.000000000000004</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42.000000000000007</c:v>
                </c:pt>
                <c:pt idx="43">
                  <c:v>43.000000000000007</c:v>
                </c:pt>
                <c:pt idx="44">
                  <c:v>44.000000000000007</c:v>
                </c:pt>
                <c:pt idx="45">
                  <c:v>45.000000000000007</c:v>
                </c:pt>
                <c:pt idx="46">
                  <c:v>46.000000000000007</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84.000000000000014</c:v>
                </c:pt>
                <c:pt idx="85">
                  <c:v>85.000000000000014</c:v>
                </c:pt>
                <c:pt idx="86">
                  <c:v>86.000000000000014</c:v>
                </c:pt>
                <c:pt idx="87">
                  <c:v>87.000000000000014</c:v>
                </c:pt>
                <c:pt idx="88">
                  <c:v>88.000000000000014</c:v>
                </c:pt>
                <c:pt idx="89">
                  <c:v>89.000000000000014</c:v>
                </c:pt>
                <c:pt idx="90">
                  <c:v>90.000000000000014</c:v>
                </c:pt>
                <c:pt idx="91">
                  <c:v>91.000000000000014</c:v>
                </c:pt>
                <c:pt idx="92">
                  <c:v>92.000000000000014</c:v>
                </c:pt>
                <c:pt idx="93">
                  <c:v>93.000000000000014</c:v>
                </c:pt>
                <c:pt idx="94">
                  <c:v>94</c:v>
                </c:pt>
                <c:pt idx="95">
                  <c:v>95</c:v>
                </c:pt>
                <c:pt idx="96">
                  <c:v>96</c:v>
                </c:pt>
                <c:pt idx="97">
                  <c:v>97</c:v>
                </c:pt>
                <c:pt idx="98">
                  <c:v>98</c:v>
                </c:pt>
                <c:pt idx="99">
                  <c:v>99</c:v>
                </c:pt>
                <c:pt idx="100">
                  <c:v>100</c:v>
                </c:pt>
              </c:numCache>
            </c:numRef>
          </c:cat>
          <c:val>
            <c:numRef>
              <c:f>'Calculations - Dual'!$AM$216:$AM$316</c:f>
              <c:numCache>
                <c:formatCode>0.0</c:formatCode>
                <c:ptCount val="101"/>
                <c:pt idx="0">
                  <c:v>10</c:v>
                </c:pt>
                <c:pt idx="1">
                  <c:v>27.199762187871581</c:v>
                </c:pt>
                <c:pt idx="2">
                  <c:v>54.399524375743162</c:v>
                </c:pt>
                <c:pt idx="3">
                  <c:v>81.599286563614726</c:v>
                </c:pt>
                <c:pt idx="4">
                  <c:v>108.79904875148632</c:v>
                </c:pt>
                <c:pt idx="5">
                  <c:v>135.9988109393579</c:v>
                </c:pt>
                <c:pt idx="6">
                  <c:v>163.19857312722945</c:v>
                </c:pt>
                <c:pt idx="7">
                  <c:v>190.39833531510109</c:v>
                </c:pt>
                <c:pt idx="8">
                  <c:v>217.59809750297265</c:v>
                </c:pt>
                <c:pt idx="9">
                  <c:v>244.79785969084423</c:v>
                </c:pt>
                <c:pt idx="10">
                  <c:v>271.99762187871579</c:v>
                </c:pt>
                <c:pt idx="11">
                  <c:v>299.1973840665874</c:v>
                </c:pt>
                <c:pt idx="12">
                  <c:v>326.3971462544589</c:v>
                </c:pt>
                <c:pt idx="13">
                  <c:v>350</c:v>
                </c:pt>
                <c:pt idx="14">
                  <c:v>350</c:v>
                </c:pt>
                <c:pt idx="15">
                  <c:v>350</c:v>
                </c:pt>
                <c:pt idx="16">
                  <c:v>350</c:v>
                </c:pt>
                <c:pt idx="17">
                  <c:v>350</c:v>
                </c:pt>
                <c:pt idx="18">
                  <c:v>350</c:v>
                </c:pt>
                <c:pt idx="19">
                  <c:v>350</c:v>
                </c:pt>
                <c:pt idx="20">
                  <c:v>350</c:v>
                </c:pt>
                <c:pt idx="21">
                  <c:v>350</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345.78203319246984</c:v>
                </c:pt>
                <c:pt idx="42">
                  <c:v>337.54912764026807</c:v>
                </c:pt>
                <c:pt idx="43">
                  <c:v>329.69914792770373</c:v>
                </c:pt>
                <c:pt idx="44">
                  <c:v>322.20598547480142</c:v>
                </c:pt>
                <c:pt idx="45">
                  <c:v>315.04585246425023</c:v>
                </c:pt>
                <c:pt idx="46">
                  <c:v>308.1970295845926</c:v>
                </c:pt>
                <c:pt idx="47">
                  <c:v>301.63964597640984</c:v>
                </c:pt>
                <c:pt idx="48">
                  <c:v>295.35548668523472</c:v>
                </c:pt>
                <c:pt idx="49">
                  <c:v>289.32782369165841</c:v>
                </c:pt>
                <c:pt idx="50">
                  <c:v>283.54126721782518</c:v>
                </c:pt>
                <c:pt idx="51">
                  <c:v>277.9816345272796</c:v>
                </c:pt>
                <c:pt idx="52">
                  <c:v>272.6358338632935</c:v>
                </c:pt>
                <c:pt idx="53">
                  <c:v>267.49176152625023</c:v>
                </c:pt>
                <c:pt idx="54">
                  <c:v>262.53821038687522</c:v>
                </c:pt>
                <c:pt idx="55">
                  <c:v>257.76478837984109</c:v>
                </c:pt>
                <c:pt idx="56">
                  <c:v>253.16184573020112</c:v>
                </c:pt>
                <c:pt idx="57">
                  <c:v>248.72040984019762</c:v>
                </c:pt>
                <c:pt idx="58">
                  <c:v>244.43212691191832</c:v>
                </c:pt>
                <c:pt idx="59">
                  <c:v>240.28920950663155</c:v>
                </c:pt>
                <c:pt idx="60">
                  <c:v>236.28438934818772</c:v>
                </c:pt>
                <c:pt idx="61">
                  <c:v>232.41087476870922</c:v>
                </c:pt>
                <c:pt idx="62">
                  <c:v>228.66231227243966</c:v>
                </c:pt>
                <c:pt idx="63">
                  <c:v>225.0327517601788</c:v>
                </c:pt>
                <c:pt idx="64">
                  <c:v>221.5166150139259</c:v>
                </c:pt>
                <c:pt idx="65">
                  <c:v>218.10866709063478</c:v>
                </c:pt>
                <c:pt idx="66">
                  <c:v>214.80399031653431</c:v>
                </c:pt>
                <c:pt idx="67">
                  <c:v>211.59796061031733</c:v>
                </c:pt>
                <c:pt idx="68">
                  <c:v>208.48622589545974</c:v>
                </c:pt>
                <c:pt idx="69">
                  <c:v>205.4646863897284</c:v>
                </c:pt>
                <c:pt idx="70">
                  <c:v>202.52947658416088</c:v>
                </c:pt>
                <c:pt idx="71">
                  <c:v>199.67694874494731</c:v>
                </c:pt>
                <c:pt idx="72">
                  <c:v>196.90365779015639</c:v>
                </c:pt>
                <c:pt idx="73">
                  <c:v>194.20634740946934</c:v>
                </c:pt>
                <c:pt idx="74">
                  <c:v>191.58193730934141</c:v>
                </c:pt>
                <c:pt idx="75">
                  <c:v>189.02751147855017</c:v>
                </c:pt>
                <c:pt idx="76">
                  <c:v>186.54030738014822</c:v>
                </c:pt>
                <c:pt idx="77">
                  <c:v>184.11770598560082</c:v>
                </c:pt>
                <c:pt idx="78">
                  <c:v>181.75722257552897</c:v>
                </c:pt>
                <c:pt idx="79">
                  <c:v>179.45649823912987</c:v>
                </c:pt>
                <c:pt idx="80">
                  <c:v>177.21329201114077</c:v>
                </c:pt>
                <c:pt idx="81">
                  <c:v>175.02547359125012</c:v>
                </c:pt>
                <c:pt idx="82">
                  <c:v>172.89101659623492</c:v>
                </c:pt>
                <c:pt idx="83">
                  <c:v>170.80799229989475</c:v>
                </c:pt>
                <c:pt idx="84">
                  <c:v>168.77456382013403</c:v>
                </c:pt>
                <c:pt idx="85">
                  <c:v>166.78898071636777</c:v>
                </c:pt>
                <c:pt idx="86">
                  <c:v>164.84957396385187</c:v>
                </c:pt>
                <c:pt idx="87">
                  <c:v>162.95475127461216</c:v>
                </c:pt>
                <c:pt idx="88">
                  <c:v>161.10299273740071</c:v>
                </c:pt>
                <c:pt idx="89">
                  <c:v>159.87967798367487</c:v>
                </c:pt>
                <c:pt idx="90">
                  <c:v>158.80309893493649</c:v>
                </c:pt>
                <c:pt idx="91">
                  <c:v>157.74131368118847</c:v>
                </c:pt>
                <c:pt idx="92">
                  <c:v>156.69401937017983</c:v>
                </c:pt>
                <c:pt idx="93">
                  <c:v>155.66092136011505</c:v>
                </c:pt>
                <c:pt idx="94">
                  <c:v>154.64173294329129</c:v>
                </c:pt>
                <c:pt idx="95">
                  <c:v>153.63617508082268</c:v>
                </c:pt>
                <c:pt idx="96">
                  <c:v>152.64397614793876</c:v>
                </c:pt>
                <c:pt idx="97">
                  <c:v>151.66487168936567</c:v>
                </c:pt>
                <c:pt idx="98">
                  <c:v>150.69860418433001</c:v>
                </c:pt>
                <c:pt idx="99">
                  <c:v>149.74492282074479</c:v>
                </c:pt>
                <c:pt idx="100">
                  <c:v>148.80358327816262</c:v>
                </c:pt>
              </c:numCache>
            </c:numRef>
          </c:val>
          <c:smooth val="0"/>
        </c:ser>
        <c:ser>
          <c:idx val="3"/>
          <c:order val="3"/>
          <c:spPr>
            <a:ln>
              <a:noFill/>
            </a:ln>
          </c:spPr>
          <c:marker>
            <c:symbol val="x"/>
            <c:size val="10"/>
            <c:spPr>
              <a:pattFill prst="pct5">
                <a:fgClr>
                  <a:schemeClr val="tx1"/>
                </a:fgClr>
                <a:bgClr>
                  <a:schemeClr val="bg1"/>
                </a:bgClr>
              </a:pattFill>
              <a:ln>
                <a:solidFill>
                  <a:srgbClr val="33CC33"/>
                </a:solidFill>
              </a:ln>
            </c:spPr>
          </c:marker>
          <c:cat>
            <c:numRef>
              <c:f>'Calculations - Dual'!$BZ$5:$BZ$105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11.000000000000002</c:v>
                </c:pt>
                <c:pt idx="12">
                  <c:v>12</c:v>
                </c:pt>
                <c:pt idx="13">
                  <c:v>13</c:v>
                </c:pt>
                <c:pt idx="14">
                  <c:v>14.000000000000002</c:v>
                </c:pt>
                <c:pt idx="15">
                  <c:v>15</c:v>
                </c:pt>
                <c:pt idx="16">
                  <c:v>16</c:v>
                </c:pt>
                <c:pt idx="17">
                  <c:v>17</c:v>
                </c:pt>
                <c:pt idx="18">
                  <c:v>18</c:v>
                </c:pt>
                <c:pt idx="19">
                  <c:v>19</c:v>
                </c:pt>
                <c:pt idx="20">
                  <c:v>20</c:v>
                </c:pt>
                <c:pt idx="21">
                  <c:v>21.000000000000004</c:v>
                </c:pt>
                <c:pt idx="22">
                  <c:v>22.000000000000004</c:v>
                </c:pt>
                <c:pt idx="23">
                  <c:v>23.000000000000004</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42.000000000000007</c:v>
                </c:pt>
                <c:pt idx="43">
                  <c:v>43.000000000000007</c:v>
                </c:pt>
                <c:pt idx="44">
                  <c:v>44.000000000000007</c:v>
                </c:pt>
                <c:pt idx="45">
                  <c:v>45.000000000000007</c:v>
                </c:pt>
                <c:pt idx="46">
                  <c:v>46.000000000000007</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84.000000000000014</c:v>
                </c:pt>
                <c:pt idx="85">
                  <c:v>85.000000000000014</c:v>
                </c:pt>
                <c:pt idx="86">
                  <c:v>86.000000000000014</c:v>
                </c:pt>
                <c:pt idx="87">
                  <c:v>87.000000000000014</c:v>
                </c:pt>
                <c:pt idx="88">
                  <c:v>88.000000000000014</c:v>
                </c:pt>
                <c:pt idx="89">
                  <c:v>89.000000000000014</c:v>
                </c:pt>
                <c:pt idx="90">
                  <c:v>90.000000000000014</c:v>
                </c:pt>
                <c:pt idx="91">
                  <c:v>91.000000000000014</c:v>
                </c:pt>
                <c:pt idx="92">
                  <c:v>92.000000000000014</c:v>
                </c:pt>
                <c:pt idx="93">
                  <c:v>93.000000000000014</c:v>
                </c:pt>
                <c:pt idx="94">
                  <c:v>94</c:v>
                </c:pt>
                <c:pt idx="95">
                  <c:v>95</c:v>
                </c:pt>
                <c:pt idx="96">
                  <c:v>96</c:v>
                </c:pt>
                <c:pt idx="97">
                  <c:v>97</c:v>
                </c:pt>
                <c:pt idx="98">
                  <c:v>98</c:v>
                </c:pt>
                <c:pt idx="99">
                  <c:v>99</c:v>
                </c:pt>
                <c:pt idx="100">
                  <c:v>100</c:v>
                </c:pt>
              </c:numCache>
            </c:numRef>
          </c:cat>
          <c:val>
            <c:numRef>
              <c:f>'Calculations - Dual'!$CB$110:$CB$210</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83.400116000578166</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ser>
        <c:ser>
          <c:idx val="4"/>
          <c:order val="4"/>
          <c:spPr>
            <a:ln>
              <a:noFill/>
            </a:ln>
          </c:spPr>
          <c:marker>
            <c:symbol val="x"/>
            <c:size val="10"/>
            <c:spPr>
              <a:pattFill prst="pct5">
                <a:fgClr>
                  <a:schemeClr val="tx1"/>
                </a:fgClr>
                <a:bgClr>
                  <a:schemeClr val="bg1"/>
                </a:bgClr>
              </a:pattFill>
              <a:ln>
                <a:solidFill>
                  <a:srgbClr val="FF0000"/>
                </a:solidFill>
              </a:ln>
            </c:spPr>
          </c:marker>
          <c:dPt>
            <c:idx val="65"/>
            <c:bubble3D val="0"/>
          </c:dPt>
          <c:dPt>
            <c:idx val="92"/>
            <c:bubble3D val="0"/>
          </c:dPt>
          <c:cat>
            <c:numRef>
              <c:f>'Calculations - Dual'!$BZ$5:$BZ$105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11.000000000000002</c:v>
                </c:pt>
                <c:pt idx="12">
                  <c:v>12</c:v>
                </c:pt>
                <c:pt idx="13">
                  <c:v>13</c:v>
                </c:pt>
                <c:pt idx="14">
                  <c:v>14.000000000000002</c:v>
                </c:pt>
                <c:pt idx="15">
                  <c:v>15</c:v>
                </c:pt>
                <c:pt idx="16">
                  <c:v>16</c:v>
                </c:pt>
                <c:pt idx="17">
                  <c:v>17</c:v>
                </c:pt>
                <c:pt idx="18">
                  <c:v>18</c:v>
                </c:pt>
                <c:pt idx="19">
                  <c:v>19</c:v>
                </c:pt>
                <c:pt idx="20">
                  <c:v>20</c:v>
                </c:pt>
                <c:pt idx="21">
                  <c:v>21.000000000000004</c:v>
                </c:pt>
                <c:pt idx="22">
                  <c:v>22.000000000000004</c:v>
                </c:pt>
                <c:pt idx="23">
                  <c:v>23.000000000000004</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42.000000000000007</c:v>
                </c:pt>
                <c:pt idx="43">
                  <c:v>43.000000000000007</c:v>
                </c:pt>
                <c:pt idx="44">
                  <c:v>44.000000000000007</c:v>
                </c:pt>
                <c:pt idx="45">
                  <c:v>45.000000000000007</c:v>
                </c:pt>
                <c:pt idx="46">
                  <c:v>46.000000000000007</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84.000000000000014</c:v>
                </c:pt>
                <c:pt idx="85">
                  <c:v>85.000000000000014</c:v>
                </c:pt>
                <c:pt idx="86">
                  <c:v>86.000000000000014</c:v>
                </c:pt>
                <c:pt idx="87">
                  <c:v>87.000000000000014</c:v>
                </c:pt>
                <c:pt idx="88">
                  <c:v>88.000000000000014</c:v>
                </c:pt>
                <c:pt idx="89">
                  <c:v>89.000000000000014</c:v>
                </c:pt>
                <c:pt idx="90">
                  <c:v>90.000000000000014</c:v>
                </c:pt>
                <c:pt idx="91">
                  <c:v>91.000000000000014</c:v>
                </c:pt>
                <c:pt idx="92">
                  <c:v>92.000000000000014</c:v>
                </c:pt>
                <c:pt idx="93">
                  <c:v>93.000000000000014</c:v>
                </c:pt>
                <c:pt idx="94">
                  <c:v>94</c:v>
                </c:pt>
                <c:pt idx="95">
                  <c:v>95</c:v>
                </c:pt>
                <c:pt idx="96">
                  <c:v>96</c:v>
                </c:pt>
                <c:pt idx="97">
                  <c:v>97</c:v>
                </c:pt>
                <c:pt idx="98">
                  <c:v>98</c:v>
                </c:pt>
                <c:pt idx="99">
                  <c:v>99</c:v>
                </c:pt>
                <c:pt idx="100">
                  <c:v>100</c:v>
                </c:pt>
              </c:numCache>
            </c:numRef>
          </c:cat>
          <c:val>
            <c:numRef>
              <c:f>'Calculations - Dual'!$CB$5:$CB$105</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94.404596257057591</c:v>
                </c:pt>
                <c:pt idx="98">
                  <c:v>-50</c:v>
                </c:pt>
                <c:pt idx="99">
                  <c:v>-50</c:v>
                </c:pt>
                <c:pt idx="100">
                  <c:v>-50</c:v>
                </c:pt>
              </c:numCache>
            </c:numRef>
          </c:val>
          <c:smooth val="0"/>
        </c:ser>
        <c:ser>
          <c:idx val="5"/>
          <c:order val="5"/>
          <c:spPr>
            <a:ln>
              <a:noFill/>
            </a:ln>
          </c:spPr>
          <c:marker>
            <c:symbol val="x"/>
            <c:size val="10"/>
            <c:spPr>
              <a:pattFill prst="pct5">
                <a:fgClr>
                  <a:schemeClr val="tx1"/>
                </a:fgClr>
                <a:bgClr>
                  <a:schemeClr val="bg1"/>
                </a:bgClr>
              </a:pattFill>
              <a:ln>
                <a:solidFill>
                  <a:srgbClr val="0000FF"/>
                </a:solidFill>
              </a:ln>
            </c:spPr>
          </c:marker>
          <c:cat>
            <c:numRef>
              <c:f>'Calculations - Dual'!$BZ$5:$BZ$105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11.000000000000002</c:v>
                </c:pt>
                <c:pt idx="12">
                  <c:v>12</c:v>
                </c:pt>
                <c:pt idx="13">
                  <c:v>13</c:v>
                </c:pt>
                <c:pt idx="14">
                  <c:v>14.000000000000002</c:v>
                </c:pt>
                <c:pt idx="15">
                  <c:v>15</c:v>
                </c:pt>
                <c:pt idx="16">
                  <c:v>16</c:v>
                </c:pt>
                <c:pt idx="17">
                  <c:v>17</c:v>
                </c:pt>
                <c:pt idx="18">
                  <c:v>18</c:v>
                </c:pt>
                <c:pt idx="19">
                  <c:v>19</c:v>
                </c:pt>
                <c:pt idx="20">
                  <c:v>20</c:v>
                </c:pt>
                <c:pt idx="21">
                  <c:v>21.000000000000004</c:v>
                </c:pt>
                <c:pt idx="22">
                  <c:v>22.000000000000004</c:v>
                </c:pt>
                <c:pt idx="23">
                  <c:v>23.000000000000004</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42.000000000000007</c:v>
                </c:pt>
                <c:pt idx="43">
                  <c:v>43.000000000000007</c:v>
                </c:pt>
                <c:pt idx="44">
                  <c:v>44.000000000000007</c:v>
                </c:pt>
                <c:pt idx="45">
                  <c:v>45.000000000000007</c:v>
                </c:pt>
                <c:pt idx="46">
                  <c:v>46.000000000000007</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84.000000000000014</c:v>
                </c:pt>
                <c:pt idx="85">
                  <c:v>85.000000000000014</c:v>
                </c:pt>
                <c:pt idx="86">
                  <c:v>86.000000000000014</c:v>
                </c:pt>
                <c:pt idx="87">
                  <c:v>87.000000000000014</c:v>
                </c:pt>
                <c:pt idx="88">
                  <c:v>88.000000000000014</c:v>
                </c:pt>
                <c:pt idx="89">
                  <c:v>89.000000000000014</c:v>
                </c:pt>
                <c:pt idx="90">
                  <c:v>90.000000000000014</c:v>
                </c:pt>
                <c:pt idx="91">
                  <c:v>91.000000000000014</c:v>
                </c:pt>
                <c:pt idx="92">
                  <c:v>92.000000000000014</c:v>
                </c:pt>
                <c:pt idx="93">
                  <c:v>93.000000000000014</c:v>
                </c:pt>
                <c:pt idx="94">
                  <c:v>94</c:v>
                </c:pt>
                <c:pt idx="95">
                  <c:v>95</c:v>
                </c:pt>
                <c:pt idx="96">
                  <c:v>96</c:v>
                </c:pt>
                <c:pt idx="97">
                  <c:v>97</c:v>
                </c:pt>
                <c:pt idx="98">
                  <c:v>98</c:v>
                </c:pt>
                <c:pt idx="99">
                  <c:v>99</c:v>
                </c:pt>
                <c:pt idx="100">
                  <c:v>100</c:v>
                </c:pt>
              </c:numCache>
            </c:numRef>
          </c:cat>
          <c:val>
            <c:numRef>
              <c:f>'Calculations - Dual'!$CB$216:$CB$316</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161.10299273740071</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ser>
        <c:dLbls>
          <c:showLegendKey val="0"/>
          <c:showVal val="0"/>
          <c:showCatName val="0"/>
          <c:showSerName val="0"/>
          <c:showPercent val="0"/>
          <c:showBubbleSize val="0"/>
        </c:dLbls>
        <c:marker val="1"/>
        <c:smooth val="0"/>
        <c:axId val="82923904"/>
        <c:axId val="82926208"/>
      </c:lineChart>
      <c:catAx>
        <c:axId val="82923904"/>
        <c:scaling>
          <c:orientation val="minMax"/>
        </c:scaling>
        <c:delete val="0"/>
        <c:axPos val="b"/>
        <c:majorGridlines>
          <c:spPr>
            <a:ln w="15875">
              <a:solidFill>
                <a:srgbClr val="969696"/>
              </a:solidFill>
              <a:prstDash val="sysDash"/>
            </a:ln>
          </c:spPr>
        </c:majorGridlines>
        <c:title>
          <c:tx>
            <c:rich>
              <a:bodyPr/>
              <a:lstStyle/>
              <a:p>
                <a:pPr>
                  <a:defRPr sz="1000" b="1" i="0" u="none" strike="noStrike" baseline="0">
                    <a:solidFill>
                      <a:schemeClr val="tx1"/>
                    </a:solidFill>
                    <a:latin typeface="Arial" pitchFamily="34" charset="0"/>
                    <a:ea typeface="Calibri"/>
                    <a:cs typeface="Arial" pitchFamily="34" charset="0"/>
                  </a:defRPr>
                </a:pPr>
                <a:r>
                  <a:rPr lang="en-US" sz="1200" b="1" i="0" baseline="0">
                    <a:effectLst/>
                  </a:rPr>
                  <a:t>% Total Rated Output Power</a:t>
                </a:r>
                <a:endParaRPr lang="en-US" sz="1000">
                  <a:effectLst/>
                </a:endParaRPr>
              </a:p>
            </c:rich>
          </c:tx>
          <c:layout>
            <c:manualLayout>
              <c:xMode val="edge"/>
              <c:yMode val="edge"/>
              <c:x val="0.40984320248210387"/>
              <c:y val="0.93853774450069472"/>
            </c:manualLayout>
          </c:layout>
          <c:overlay val="0"/>
          <c:spPr>
            <a:noFill/>
            <a:ln w="25400">
              <a:noFill/>
            </a:ln>
          </c:spPr>
        </c:title>
        <c:numFmt formatCode="General" sourceLinked="1"/>
        <c:majorTickMark val="in"/>
        <c:minorTickMark val="in"/>
        <c:tickLblPos val="nextTo"/>
        <c:spPr>
          <a:ln w="3175">
            <a:solidFill>
              <a:schemeClr val="tx1"/>
            </a:solidFill>
            <a:prstDash val="solid"/>
          </a:ln>
        </c:spPr>
        <c:txPr>
          <a:bodyPr rot="0" vert="horz"/>
          <a:lstStyle/>
          <a:p>
            <a:pPr>
              <a:defRPr sz="1100" b="1" i="0" u="none" strike="noStrike" baseline="0">
                <a:solidFill>
                  <a:schemeClr val="tx1"/>
                </a:solidFill>
                <a:latin typeface="Arial" pitchFamily="34" charset="0"/>
                <a:ea typeface="Calibri"/>
                <a:cs typeface="Arial" pitchFamily="34" charset="0"/>
              </a:defRPr>
            </a:pPr>
            <a:endParaRPr lang="ko-KR"/>
          </a:p>
        </c:txPr>
        <c:crossAx val="82926208"/>
        <c:crosses val="autoZero"/>
        <c:auto val="1"/>
        <c:lblAlgn val="ctr"/>
        <c:lblOffset val="100"/>
        <c:tickLblSkip val="20"/>
        <c:tickMarkSkip val="10"/>
        <c:noMultiLvlLbl val="0"/>
      </c:catAx>
      <c:valAx>
        <c:axId val="82926208"/>
        <c:scaling>
          <c:orientation val="minMax"/>
          <c:max val="400"/>
          <c:min val="0"/>
        </c:scaling>
        <c:delete val="0"/>
        <c:axPos val="l"/>
        <c:majorGridlines>
          <c:spPr>
            <a:ln w="15875">
              <a:solidFill>
                <a:srgbClr val="808080"/>
              </a:solidFill>
              <a:prstDash val="solid"/>
            </a:ln>
          </c:spPr>
        </c:majorGridlines>
        <c:title>
          <c:tx>
            <c:rich>
              <a:bodyPr/>
              <a:lstStyle/>
              <a:p>
                <a:pPr>
                  <a:defRPr sz="1400" b="1" i="0" u="none" strike="noStrike" baseline="0">
                    <a:solidFill>
                      <a:schemeClr val="tx1"/>
                    </a:solidFill>
                    <a:latin typeface="Arial" pitchFamily="34" charset="0"/>
                    <a:ea typeface="Calibri"/>
                    <a:cs typeface="Arial" pitchFamily="34" charset="0"/>
                  </a:defRPr>
                </a:pPr>
                <a:r>
                  <a:rPr lang="en-US" sz="1200" b="1">
                    <a:solidFill>
                      <a:schemeClr val="tx1"/>
                    </a:solidFill>
                    <a:latin typeface="Arial" pitchFamily="34" charset="0"/>
                    <a:cs typeface="Arial" pitchFamily="34" charset="0"/>
                  </a:rPr>
                  <a:t>Switching</a:t>
                </a:r>
                <a:r>
                  <a:rPr lang="en-US" sz="1200" b="1" baseline="0">
                    <a:solidFill>
                      <a:schemeClr val="tx1"/>
                    </a:solidFill>
                    <a:latin typeface="Arial" pitchFamily="34" charset="0"/>
                    <a:cs typeface="Arial" pitchFamily="34" charset="0"/>
                  </a:rPr>
                  <a:t> Frquency (kHz)</a:t>
                </a:r>
                <a:endParaRPr lang="en-US" sz="1200" b="1">
                  <a:solidFill>
                    <a:schemeClr val="tx1"/>
                  </a:solidFill>
                  <a:latin typeface="Arial" pitchFamily="34" charset="0"/>
                  <a:cs typeface="Arial" pitchFamily="34" charset="0"/>
                </a:endParaRPr>
              </a:p>
            </c:rich>
          </c:tx>
          <c:layout>
            <c:manualLayout>
              <c:xMode val="edge"/>
              <c:yMode val="edge"/>
              <c:x val="8.5568268367748525E-3"/>
              <c:y val="0.30050661099568304"/>
            </c:manualLayout>
          </c:layout>
          <c:overlay val="0"/>
          <c:spPr>
            <a:noFill/>
            <a:ln w="25400">
              <a:noFill/>
            </a:ln>
          </c:spPr>
        </c:title>
        <c:numFmt formatCode="#,##0" sourceLinked="0"/>
        <c:majorTickMark val="out"/>
        <c:minorTickMark val="in"/>
        <c:tickLblPos val="nextTo"/>
        <c:spPr>
          <a:ln w="3175">
            <a:solidFill>
              <a:srgbClr val="000000"/>
            </a:solidFill>
            <a:prstDash val="solid"/>
          </a:ln>
        </c:spPr>
        <c:txPr>
          <a:bodyPr rot="0" vert="horz"/>
          <a:lstStyle/>
          <a:p>
            <a:pPr>
              <a:defRPr sz="1100" b="1" i="0" u="none" strike="noStrike" baseline="0">
                <a:solidFill>
                  <a:schemeClr val="tx1"/>
                </a:solidFill>
                <a:latin typeface="Arial" pitchFamily="34" charset="0"/>
                <a:ea typeface="Calibri"/>
                <a:cs typeface="Arial" pitchFamily="34" charset="0"/>
              </a:defRPr>
            </a:pPr>
            <a:endParaRPr lang="ko-KR"/>
          </a:p>
        </c:txPr>
        <c:crossAx val="82923904"/>
        <c:crossesAt val="0"/>
        <c:crossBetween val="between"/>
        <c:majorUnit val="50"/>
        <c:minorUnit val="25"/>
      </c:valAx>
      <c:spPr>
        <a:solidFill>
          <a:srgbClr val="FFFFFF"/>
        </a:solidFill>
        <a:ln w="25400">
          <a:noFill/>
        </a:ln>
      </c:spPr>
    </c:plotArea>
    <c:legend>
      <c:legendPos val="t"/>
      <c:legendEntry>
        <c:idx val="3"/>
        <c:delete val="1"/>
      </c:legendEntry>
      <c:legendEntry>
        <c:idx val="4"/>
        <c:delete val="1"/>
      </c:legendEntry>
      <c:legendEntry>
        <c:idx val="5"/>
        <c:delete val="1"/>
      </c:legendEntry>
      <c:layout>
        <c:manualLayout>
          <c:xMode val="edge"/>
          <c:yMode val="edge"/>
          <c:x val="0.31258613484968906"/>
          <c:y val="1.9480197482498431E-2"/>
          <c:w val="0.42410841724909248"/>
          <c:h val="5.4335766847817754E-2"/>
        </c:manualLayout>
      </c:layout>
      <c:overlay val="0"/>
      <c:spPr>
        <a:solidFill>
          <a:srgbClr val="FFFFFF"/>
        </a:solidFill>
        <a:ln w="25400">
          <a:noFill/>
        </a:ln>
      </c:spPr>
      <c:txPr>
        <a:bodyPr/>
        <a:lstStyle/>
        <a:p>
          <a:pPr>
            <a:defRPr sz="1400" b="0" i="0" u="none" strike="noStrike" baseline="0">
              <a:solidFill>
                <a:srgbClr val="000000"/>
              </a:solidFill>
              <a:latin typeface="Arial" pitchFamily="34" charset="0"/>
              <a:ea typeface="Calibri"/>
              <a:cs typeface="Arial" pitchFamily="34" charset="0"/>
            </a:defRPr>
          </a:pPr>
          <a:endParaRPr lang="ko-KR"/>
        </a:p>
      </c:txPr>
    </c:legend>
    <c:plotVisOnly val="1"/>
    <c:dispBlanksAs val="gap"/>
    <c:showDLblsOverMax val="0"/>
  </c:chart>
  <c:spPr>
    <a:solidFill>
      <a:srgbClr val="FFFFFF"/>
    </a:solidFill>
    <a:ln w="9525">
      <a:solidFill>
        <a:srgbClr val="808080"/>
      </a:solidFill>
    </a:ln>
  </c:spPr>
  <c:txPr>
    <a:bodyPr/>
    <a:lstStyle/>
    <a:p>
      <a:pPr>
        <a:defRPr sz="850" b="0" i="0" u="none" strike="noStrike" baseline="0">
          <a:solidFill>
            <a:srgbClr val="000000"/>
          </a:solidFill>
          <a:latin typeface="Arial"/>
          <a:ea typeface="Arial"/>
          <a:cs typeface="Arial"/>
        </a:defRPr>
      </a:pPr>
      <a:endParaRPr lang="ko-KR"/>
    </a:p>
  </c:txPr>
  <c:printSettings>
    <c:headerFooter alignWithMargins="0"/>
    <c:pageMargins b="1" l="0.750000000000006" r="0.750000000000006" t="1" header="0.5" footer="0.5"/>
    <c:pageSetup paperSize="5"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ko-K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280746883383756E-2"/>
          <c:y val="0.12133523343001466"/>
          <c:w val="0.86047278973849184"/>
          <c:h val="0.7558980268938309"/>
        </c:manualLayout>
      </c:layout>
      <c:lineChart>
        <c:grouping val="standard"/>
        <c:varyColors val="0"/>
        <c:ser>
          <c:idx val="1"/>
          <c:order val="0"/>
          <c:tx>
            <c:v>VIN-min</c:v>
          </c:tx>
          <c:spPr>
            <a:ln>
              <a:solidFill>
                <a:srgbClr val="00B050"/>
              </a:solidFill>
              <a:prstDash val="sysDash"/>
            </a:ln>
          </c:spPr>
          <c:marker>
            <c:symbol val="none"/>
          </c:marker>
          <c:val>
            <c:numRef>
              <c:f>'Calculations - Single'!$AK$110:$AK$210</c:f>
              <c:numCache>
                <c:formatCode>0.000</c:formatCode>
                <c:ptCount val="101"/>
                <c:pt idx="0">
                  <c:v>1.0057142857142858</c:v>
                </c:pt>
                <c:pt idx="1">
                  <c:v>1.0155427212502124</c:v>
                </c:pt>
                <c:pt idx="2">
                  <c:v>1.0310854425004248</c:v>
                </c:pt>
                <c:pt idx="3">
                  <c:v>1.0466281637506369</c:v>
                </c:pt>
                <c:pt idx="4">
                  <c:v>1.0621708850008493</c:v>
                </c:pt>
                <c:pt idx="5">
                  <c:v>1.0777136062510617</c:v>
                </c:pt>
                <c:pt idx="6">
                  <c:v>1.0932563275012739</c:v>
                </c:pt>
                <c:pt idx="7">
                  <c:v>1.1087990487514863</c:v>
                </c:pt>
                <c:pt idx="8">
                  <c:v>1.1243417700016987</c:v>
                </c:pt>
                <c:pt idx="9">
                  <c:v>1.139884491251911</c:v>
                </c:pt>
                <c:pt idx="10">
                  <c:v>1.1554272125021234</c:v>
                </c:pt>
                <c:pt idx="11">
                  <c:v>1.1709699337523356</c:v>
                </c:pt>
                <c:pt idx="12">
                  <c:v>1.186512655002548</c:v>
                </c:pt>
                <c:pt idx="13">
                  <c:v>1.2011009917129249</c:v>
                </c:pt>
                <c:pt idx="14">
                  <c:v>1.20925160684821</c:v>
                </c:pt>
                <c:pt idx="15">
                  <c:v>1.2171159660772877</c:v>
                </c:pt>
                <c:pt idx="16">
                  <c:v>1.224722265683317</c:v>
                </c:pt>
                <c:pt idx="17">
                  <c:v>1.2320943562216546</c:v>
                </c:pt>
                <c:pt idx="18">
                  <c:v>1.2630930696504468</c:v>
                </c:pt>
                <c:pt idx="19">
                  <c:v>1.2785323965651834</c:v>
                </c:pt>
                <c:pt idx="20">
                  <c:v>1.2939717234799202</c:v>
                </c:pt>
                <c:pt idx="21">
                  <c:v>1.309411050394657</c:v>
                </c:pt>
                <c:pt idx="22">
                  <c:v>1.3248503773093936</c:v>
                </c:pt>
                <c:pt idx="23">
                  <c:v>1.3402897042241304</c:v>
                </c:pt>
                <c:pt idx="24">
                  <c:v>1.3557290311388672</c:v>
                </c:pt>
                <c:pt idx="25">
                  <c:v>1.371168358053604</c:v>
                </c:pt>
                <c:pt idx="26">
                  <c:v>1.3866076849683406</c:v>
                </c:pt>
                <c:pt idx="27">
                  <c:v>1.4020470118830775</c:v>
                </c:pt>
                <c:pt idx="28">
                  <c:v>1.4174863387978143</c:v>
                </c:pt>
                <c:pt idx="29">
                  <c:v>1.4329256657125509</c:v>
                </c:pt>
                <c:pt idx="30">
                  <c:v>1.4483649926272877</c:v>
                </c:pt>
                <c:pt idx="31">
                  <c:v>1.4638043195420245</c:v>
                </c:pt>
                <c:pt idx="32">
                  <c:v>1.4792436464567611</c:v>
                </c:pt>
                <c:pt idx="33">
                  <c:v>1.4946829733714979</c:v>
                </c:pt>
                <c:pt idx="34">
                  <c:v>1.5101223002862347</c:v>
                </c:pt>
                <c:pt idx="35">
                  <c:v>1.5255616272009713</c:v>
                </c:pt>
                <c:pt idx="36">
                  <c:v>1.5410009541157081</c:v>
                </c:pt>
                <c:pt idx="37">
                  <c:v>1.556440281030445</c:v>
                </c:pt>
                <c:pt idx="38">
                  <c:v>1.5718796079451818</c:v>
                </c:pt>
                <c:pt idx="39">
                  <c:v>1.5873189348599186</c:v>
                </c:pt>
                <c:pt idx="40">
                  <c:v>1.6027582617746552</c:v>
                </c:pt>
                <c:pt idx="41">
                  <c:v>1.6181975886893918</c:v>
                </c:pt>
                <c:pt idx="42">
                  <c:v>1.6336369156041288</c:v>
                </c:pt>
                <c:pt idx="43">
                  <c:v>1.6490762425188654</c:v>
                </c:pt>
                <c:pt idx="44">
                  <c:v>1.6645155694336022</c:v>
                </c:pt>
                <c:pt idx="45">
                  <c:v>1.6799548963483391</c:v>
                </c:pt>
                <c:pt idx="46">
                  <c:v>1.6953942232630759</c:v>
                </c:pt>
                <c:pt idx="47">
                  <c:v>1.7108335501778122</c:v>
                </c:pt>
                <c:pt idx="48">
                  <c:v>1.7262728770925491</c:v>
                </c:pt>
                <c:pt idx="49">
                  <c:v>1.7417122040072859</c:v>
                </c:pt>
                <c:pt idx="50">
                  <c:v>1.7571515309220227</c:v>
                </c:pt>
                <c:pt idx="51">
                  <c:v>1.7725908578367595</c:v>
                </c:pt>
                <c:pt idx="52">
                  <c:v>1.7880301847514961</c:v>
                </c:pt>
                <c:pt idx="53">
                  <c:v>1.8034695116662329</c:v>
                </c:pt>
                <c:pt idx="54">
                  <c:v>1.8189088385809697</c:v>
                </c:pt>
                <c:pt idx="55">
                  <c:v>1.8343481654957063</c:v>
                </c:pt>
                <c:pt idx="56">
                  <c:v>1.8497874924104432</c:v>
                </c:pt>
                <c:pt idx="57">
                  <c:v>1.86522681932518</c:v>
                </c:pt>
                <c:pt idx="58">
                  <c:v>1.8806661462399168</c:v>
                </c:pt>
                <c:pt idx="59">
                  <c:v>1.8961054731546534</c:v>
                </c:pt>
                <c:pt idx="60">
                  <c:v>1.9115448000693902</c:v>
                </c:pt>
                <c:pt idx="61">
                  <c:v>1.926984126984127</c:v>
                </c:pt>
                <c:pt idx="62">
                  <c:v>1.9424234538988636</c:v>
                </c:pt>
                <c:pt idx="63">
                  <c:v>1.9578627808136004</c:v>
                </c:pt>
                <c:pt idx="64">
                  <c:v>1.9733021077283373</c:v>
                </c:pt>
                <c:pt idx="65">
                  <c:v>1.9887414346430741</c:v>
                </c:pt>
                <c:pt idx="66">
                  <c:v>2.0041807615578109</c:v>
                </c:pt>
                <c:pt idx="67">
                  <c:v>2.0196200884725477</c:v>
                </c:pt>
                <c:pt idx="68">
                  <c:v>2.0350594153872841</c:v>
                </c:pt>
                <c:pt idx="69">
                  <c:v>2.0504987423020209</c:v>
                </c:pt>
                <c:pt idx="70">
                  <c:v>2.0592592592592593</c:v>
                </c:pt>
                <c:pt idx="71">
                  <c:v>2.0592592592592593</c:v>
                </c:pt>
                <c:pt idx="72">
                  <c:v>2.0592592592592593</c:v>
                </c:pt>
                <c:pt idx="73">
                  <c:v>2.0592592592592593</c:v>
                </c:pt>
                <c:pt idx="74">
                  <c:v>2.0592592592592593</c:v>
                </c:pt>
                <c:pt idx="75">
                  <c:v>2.0592592592592593</c:v>
                </c:pt>
                <c:pt idx="76">
                  <c:v>2.0592592592592593</c:v>
                </c:pt>
                <c:pt idx="77">
                  <c:v>2.0592592592592593</c:v>
                </c:pt>
                <c:pt idx="78">
                  <c:v>2.0592592592592593</c:v>
                </c:pt>
                <c:pt idx="79">
                  <c:v>2.0592592592592593</c:v>
                </c:pt>
                <c:pt idx="80">
                  <c:v>2.0592592592592593</c:v>
                </c:pt>
                <c:pt idx="81">
                  <c:v>2.0592592592592593</c:v>
                </c:pt>
                <c:pt idx="82">
                  <c:v>2.0592592592592593</c:v>
                </c:pt>
                <c:pt idx="83">
                  <c:v>2.0592592592592593</c:v>
                </c:pt>
                <c:pt idx="84">
                  <c:v>2.0592592592592593</c:v>
                </c:pt>
                <c:pt idx="85">
                  <c:v>2.0592592592592593</c:v>
                </c:pt>
                <c:pt idx="86">
                  <c:v>2.0592592592592593</c:v>
                </c:pt>
                <c:pt idx="87">
                  <c:v>2.0592592592592593</c:v>
                </c:pt>
                <c:pt idx="88">
                  <c:v>2.0592592592592593</c:v>
                </c:pt>
                <c:pt idx="89">
                  <c:v>2.0592592592592593</c:v>
                </c:pt>
                <c:pt idx="90">
                  <c:v>2.0592592592592593</c:v>
                </c:pt>
                <c:pt idx="91">
                  <c:v>2.0592592592592593</c:v>
                </c:pt>
                <c:pt idx="92">
                  <c:v>2.0592592592592593</c:v>
                </c:pt>
                <c:pt idx="93">
                  <c:v>2.0592592592592593</c:v>
                </c:pt>
                <c:pt idx="94">
                  <c:v>2.0592592592592593</c:v>
                </c:pt>
                <c:pt idx="95">
                  <c:v>2.0592592592592593</c:v>
                </c:pt>
                <c:pt idx="96">
                  <c:v>2.0592592592592593</c:v>
                </c:pt>
                <c:pt idx="97">
                  <c:v>2.0592592592592593</c:v>
                </c:pt>
                <c:pt idx="98">
                  <c:v>2.0592592592592593</c:v>
                </c:pt>
                <c:pt idx="99">
                  <c:v>2.0592592592592593</c:v>
                </c:pt>
                <c:pt idx="100">
                  <c:v>2.0592592592592593</c:v>
                </c:pt>
              </c:numCache>
            </c:numRef>
          </c:val>
          <c:smooth val="0"/>
        </c:ser>
        <c:ser>
          <c:idx val="0"/>
          <c:order val="1"/>
          <c:tx>
            <c:v>VIN-nom</c:v>
          </c:tx>
          <c:spPr>
            <a:ln w="28575">
              <a:solidFill>
                <a:srgbClr val="0000FF"/>
              </a:solidFill>
              <a:prstDash val="lgDash"/>
            </a:ln>
          </c:spPr>
          <c:marker>
            <c:symbol val="none"/>
          </c:marker>
          <c:cat>
            <c:numRef>
              <c:f>'Calculations - Single'!$AM$5:$AM$105</c:f>
              <c:numCache>
                <c:formatCode>0</c:formatCode>
                <c:ptCount val="101"/>
                <c:pt idx="0">
                  <c:v>1.0000000000000002E-6</c:v>
                </c:pt>
                <c:pt idx="1">
                  <c:v>3</c:v>
                </c:pt>
                <c:pt idx="2">
                  <c:v>6</c:v>
                </c:pt>
                <c:pt idx="3">
                  <c:v>9</c:v>
                </c:pt>
                <c:pt idx="4">
                  <c:v>12</c:v>
                </c:pt>
                <c:pt idx="5">
                  <c:v>15</c:v>
                </c:pt>
                <c:pt idx="6">
                  <c:v>18</c:v>
                </c:pt>
                <c:pt idx="7">
                  <c:v>21</c:v>
                </c:pt>
                <c:pt idx="8">
                  <c:v>24</c:v>
                </c:pt>
                <c:pt idx="9">
                  <c:v>27</c:v>
                </c:pt>
                <c:pt idx="10">
                  <c:v>30</c:v>
                </c:pt>
                <c:pt idx="11">
                  <c:v>33</c:v>
                </c:pt>
                <c:pt idx="12">
                  <c:v>36</c:v>
                </c:pt>
                <c:pt idx="13">
                  <c:v>39</c:v>
                </c:pt>
                <c:pt idx="14">
                  <c:v>42</c:v>
                </c:pt>
                <c:pt idx="15">
                  <c:v>45</c:v>
                </c:pt>
                <c:pt idx="16">
                  <c:v>48</c:v>
                </c:pt>
                <c:pt idx="17">
                  <c:v>51.000000000000007</c:v>
                </c:pt>
                <c:pt idx="18">
                  <c:v>54</c:v>
                </c:pt>
                <c:pt idx="19">
                  <c:v>56.999999999999993</c:v>
                </c:pt>
                <c:pt idx="20">
                  <c:v>60</c:v>
                </c:pt>
                <c:pt idx="21">
                  <c:v>63</c:v>
                </c:pt>
                <c:pt idx="22">
                  <c:v>66</c:v>
                </c:pt>
                <c:pt idx="23">
                  <c:v>69</c:v>
                </c:pt>
                <c:pt idx="24">
                  <c:v>72</c:v>
                </c:pt>
                <c:pt idx="25">
                  <c:v>75</c:v>
                </c:pt>
                <c:pt idx="26">
                  <c:v>78</c:v>
                </c:pt>
                <c:pt idx="27">
                  <c:v>81</c:v>
                </c:pt>
                <c:pt idx="28">
                  <c:v>84</c:v>
                </c:pt>
                <c:pt idx="29">
                  <c:v>87</c:v>
                </c:pt>
                <c:pt idx="30">
                  <c:v>90</c:v>
                </c:pt>
                <c:pt idx="31">
                  <c:v>93</c:v>
                </c:pt>
                <c:pt idx="32">
                  <c:v>96</c:v>
                </c:pt>
                <c:pt idx="33">
                  <c:v>99</c:v>
                </c:pt>
                <c:pt idx="34">
                  <c:v>102.00000000000001</c:v>
                </c:pt>
                <c:pt idx="35">
                  <c:v>105</c:v>
                </c:pt>
                <c:pt idx="36">
                  <c:v>108</c:v>
                </c:pt>
                <c:pt idx="37">
                  <c:v>111</c:v>
                </c:pt>
                <c:pt idx="38">
                  <c:v>113.99999999999999</c:v>
                </c:pt>
                <c:pt idx="39">
                  <c:v>117</c:v>
                </c:pt>
                <c:pt idx="40">
                  <c:v>120</c:v>
                </c:pt>
                <c:pt idx="41">
                  <c:v>122.99999999999999</c:v>
                </c:pt>
                <c:pt idx="42">
                  <c:v>126</c:v>
                </c:pt>
                <c:pt idx="43">
                  <c:v>129</c:v>
                </c:pt>
                <c:pt idx="44">
                  <c:v>132</c:v>
                </c:pt>
                <c:pt idx="45">
                  <c:v>135</c:v>
                </c:pt>
                <c:pt idx="46">
                  <c:v>138</c:v>
                </c:pt>
                <c:pt idx="47">
                  <c:v>141</c:v>
                </c:pt>
                <c:pt idx="48">
                  <c:v>144</c:v>
                </c:pt>
                <c:pt idx="49">
                  <c:v>147</c:v>
                </c:pt>
                <c:pt idx="50">
                  <c:v>150</c:v>
                </c:pt>
                <c:pt idx="51">
                  <c:v>153</c:v>
                </c:pt>
                <c:pt idx="52">
                  <c:v>156</c:v>
                </c:pt>
                <c:pt idx="53">
                  <c:v>159</c:v>
                </c:pt>
                <c:pt idx="54">
                  <c:v>162</c:v>
                </c:pt>
                <c:pt idx="55">
                  <c:v>165</c:v>
                </c:pt>
                <c:pt idx="56">
                  <c:v>168</c:v>
                </c:pt>
                <c:pt idx="57">
                  <c:v>170.99999999999997</c:v>
                </c:pt>
                <c:pt idx="58">
                  <c:v>174</c:v>
                </c:pt>
                <c:pt idx="59">
                  <c:v>177</c:v>
                </c:pt>
                <c:pt idx="60">
                  <c:v>180</c:v>
                </c:pt>
                <c:pt idx="61">
                  <c:v>183</c:v>
                </c:pt>
                <c:pt idx="62">
                  <c:v>186</c:v>
                </c:pt>
                <c:pt idx="63">
                  <c:v>189</c:v>
                </c:pt>
                <c:pt idx="64">
                  <c:v>192</c:v>
                </c:pt>
                <c:pt idx="65">
                  <c:v>195</c:v>
                </c:pt>
                <c:pt idx="66">
                  <c:v>198</c:v>
                </c:pt>
                <c:pt idx="67">
                  <c:v>201</c:v>
                </c:pt>
                <c:pt idx="68">
                  <c:v>204.00000000000003</c:v>
                </c:pt>
                <c:pt idx="69">
                  <c:v>207</c:v>
                </c:pt>
                <c:pt idx="70">
                  <c:v>210</c:v>
                </c:pt>
                <c:pt idx="71">
                  <c:v>213</c:v>
                </c:pt>
                <c:pt idx="72">
                  <c:v>216</c:v>
                </c:pt>
                <c:pt idx="73">
                  <c:v>219</c:v>
                </c:pt>
                <c:pt idx="74">
                  <c:v>222</c:v>
                </c:pt>
                <c:pt idx="75">
                  <c:v>224.99999999999997</c:v>
                </c:pt>
                <c:pt idx="76">
                  <c:v>227.99999999999997</c:v>
                </c:pt>
                <c:pt idx="77">
                  <c:v>230.99999999999997</c:v>
                </c:pt>
                <c:pt idx="78">
                  <c:v>234</c:v>
                </c:pt>
                <c:pt idx="79">
                  <c:v>237</c:v>
                </c:pt>
                <c:pt idx="80">
                  <c:v>240</c:v>
                </c:pt>
                <c:pt idx="81">
                  <c:v>243</c:v>
                </c:pt>
                <c:pt idx="82">
                  <c:v>245.99999999999997</c:v>
                </c:pt>
                <c:pt idx="83">
                  <c:v>248.99999999999997</c:v>
                </c:pt>
                <c:pt idx="84">
                  <c:v>252</c:v>
                </c:pt>
                <c:pt idx="85">
                  <c:v>255</c:v>
                </c:pt>
                <c:pt idx="86">
                  <c:v>258</c:v>
                </c:pt>
                <c:pt idx="87">
                  <c:v>261</c:v>
                </c:pt>
                <c:pt idx="88">
                  <c:v>264</c:v>
                </c:pt>
                <c:pt idx="89">
                  <c:v>267</c:v>
                </c:pt>
                <c:pt idx="90">
                  <c:v>270</c:v>
                </c:pt>
                <c:pt idx="91">
                  <c:v>273</c:v>
                </c:pt>
                <c:pt idx="92">
                  <c:v>276</c:v>
                </c:pt>
                <c:pt idx="93">
                  <c:v>279</c:v>
                </c:pt>
                <c:pt idx="94">
                  <c:v>282</c:v>
                </c:pt>
                <c:pt idx="95">
                  <c:v>285</c:v>
                </c:pt>
                <c:pt idx="96">
                  <c:v>288</c:v>
                </c:pt>
                <c:pt idx="97">
                  <c:v>291</c:v>
                </c:pt>
                <c:pt idx="98">
                  <c:v>294</c:v>
                </c:pt>
                <c:pt idx="99">
                  <c:v>297</c:v>
                </c:pt>
                <c:pt idx="100">
                  <c:v>300</c:v>
                </c:pt>
              </c:numCache>
            </c:numRef>
          </c:cat>
          <c:val>
            <c:numRef>
              <c:f>'Calculations - Single'!$AK$5:$AK$105</c:f>
              <c:numCache>
                <c:formatCode>0.000</c:formatCode>
                <c:ptCount val="101"/>
                <c:pt idx="0">
                  <c:v>1.0057142857142858</c:v>
                </c:pt>
                <c:pt idx="1">
                  <c:v>1.0155427212502124</c:v>
                </c:pt>
                <c:pt idx="2">
                  <c:v>1.0310854425004248</c:v>
                </c:pt>
                <c:pt idx="3">
                  <c:v>1.0466281637506369</c:v>
                </c:pt>
                <c:pt idx="4">
                  <c:v>1.0621708850008493</c:v>
                </c:pt>
                <c:pt idx="5">
                  <c:v>1.0777136062510617</c:v>
                </c:pt>
                <c:pt idx="6">
                  <c:v>1.0932563275012739</c:v>
                </c:pt>
                <c:pt idx="7">
                  <c:v>1.1087990487514863</c:v>
                </c:pt>
                <c:pt idx="8">
                  <c:v>1.1243417700016987</c:v>
                </c:pt>
                <c:pt idx="9">
                  <c:v>1.139884491251911</c:v>
                </c:pt>
                <c:pt idx="10">
                  <c:v>1.1554272125021234</c:v>
                </c:pt>
                <c:pt idx="11">
                  <c:v>1.1709699337523356</c:v>
                </c:pt>
                <c:pt idx="12">
                  <c:v>1.186512655002548</c:v>
                </c:pt>
                <c:pt idx="13">
                  <c:v>1.2127804290051551</c:v>
                </c:pt>
                <c:pt idx="14">
                  <c:v>1.2213719317248024</c:v>
                </c:pt>
                <c:pt idx="15">
                  <c:v>1.2296616942253529</c:v>
                </c:pt>
                <c:pt idx="16">
                  <c:v>1.2376794379989176</c:v>
                </c:pt>
                <c:pt idx="17">
                  <c:v>1.245450303738292</c:v>
                </c:pt>
                <c:pt idx="18">
                  <c:v>1.252995782748016</c:v>
                </c:pt>
                <c:pt idx="19">
                  <c:v>1.2603344181451526</c:v>
                </c:pt>
                <c:pt idx="20">
                  <c:v>1.2674823417949468</c:v>
                </c:pt>
                <c:pt idx="21">
                  <c:v>1.2744536917002465</c:v>
                </c:pt>
                <c:pt idx="22">
                  <c:v>1.281260940850778</c:v>
                </c:pt>
                <c:pt idx="23">
                  <c:v>1.2879151594600324</c:v>
                </c:pt>
                <c:pt idx="24">
                  <c:v>1.2944262263746551</c:v>
                </c:pt>
                <c:pt idx="25">
                  <c:v>1.3008030012023506</c:v>
                </c:pt>
                <c:pt idx="26">
                  <c:v>1.3070534657269979</c:v>
                </c:pt>
                <c:pt idx="27">
                  <c:v>1.3131848410545792</c:v>
                </c:pt>
                <c:pt idx="28">
                  <c:v>1.3192036853942883</c:v>
                </c:pt>
                <c:pt idx="29">
                  <c:v>1.3251159762492435</c:v>
                </c:pt>
                <c:pt idx="30">
                  <c:v>1.3309271799514188</c:v>
                </c:pt>
                <c:pt idx="31">
                  <c:v>1.3366423108441083</c:v>
                </c:pt>
                <c:pt idx="32">
                  <c:v>1.3422659819356264</c:v>
                </c:pt>
                <c:pt idx="33">
                  <c:v>1.3478024484800093</c:v>
                </c:pt>
                <c:pt idx="34">
                  <c:v>1.3532556456556304</c:v>
                </c:pt>
                <c:pt idx="35">
                  <c:v>1.3586292212902265</c:v>
                </c:pt>
                <c:pt idx="36">
                  <c:v>1.3822707953855493</c:v>
                </c:pt>
                <c:pt idx="37">
                  <c:v>1.3933009512244485</c:v>
                </c:pt>
                <c:pt idx="38">
                  <c:v>1.4043311070633475</c:v>
                </c:pt>
                <c:pt idx="39">
                  <c:v>1.4153612629022465</c:v>
                </c:pt>
                <c:pt idx="40">
                  <c:v>1.4263914187411455</c:v>
                </c:pt>
                <c:pt idx="41">
                  <c:v>1.4374215745800445</c:v>
                </c:pt>
                <c:pt idx="42">
                  <c:v>1.4484517304189435</c:v>
                </c:pt>
                <c:pt idx="43">
                  <c:v>1.4594818862578425</c:v>
                </c:pt>
                <c:pt idx="44">
                  <c:v>1.4705120420967415</c:v>
                </c:pt>
                <c:pt idx="45">
                  <c:v>1.4815421979356407</c:v>
                </c:pt>
                <c:pt idx="46">
                  <c:v>1.4925723537745395</c:v>
                </c:pt>
                <c:pt idx="47">
                  <c:v>1.5036025096134384</c:v>
                </c:pt>
                <c:pt idx="48">
                  <c:v>1.5146326654523374</c:v>
                </c:pt>
                <c:pt idx="49">
                  <c:v>1.5256628212912364</c:v>
                </c:pt>
                <c:pt idx="50">
                  <c:v>1.5366929771301356</c:v>
                </c:pt>
                <c:pt idx="51">
                  <c:v>1.5477231329690344</c:v>
                </c:pt>
                <c:pt idx="52">
                  <c:v>1.5587532888079334</c:v>
                </c:pt>
                <c:pt idx="53">
                  <c:v>1.5697834446468326</c:v>
                </c:pt>
                <c:pt idx="54">
                  <c:v>1.5808136004857316</c:v>
                </c:pt>
                <c:pt idx="55">
                  <c:v>1.5918437563246306</c:v>
                </c:pt>
                <c:pt idx="56">
                  <c:v>1.6028739121635296</c:v>
                </c:pt>
                <c:pt idx="57">
                  <c:v>1.6139040680024286</c:v>
                </c:pt>
                <c:pt idx="58">
                  <c:v>1.6249342238413276</c:v>
                </c:pt>
                <c:pt idx="59">
                  <c:v>1.6359643796802266</c:v>
                </c:pt>
                <c:pt idx="60">
                  <c:v>1.6469945355191256</c:v>
                </c:pt>
                <c:pt idx="61">
                  <c:v>1.6580246913580248</c:v>
                </c:pt>
                <c:pt idx="62">
                  <c:v>1.6690548471969238</c:v>
                </c:pt>
                <c:pt idx="63">
                  <c:v>1.6800850030358225</c:v>
                </c:pt>
                <c:pt idx="64">
                  <c:v>1.6911151588747217</c:v>
                </c:pt>
                <c:pt idx="65">
                  <c:v>1.7021453147136207</c:v>
                </c:pt>
                <c:pt idx="66">
                  <c:v>1.7131754705525197</c:v>
                </c:pt>
                <c:pt idx="67">
                  <c:v>1.7242056263914187</c:v>
                </c:pt>
                <c:pt idx="68">
                  <c:v>1.7352357822303177</c:v>
                </c:pt>
                <c:pt idx="69">
                  <c:v>1.7462659380692167</c:v>
                </c:pt>
                <c:pt idx="70">
                  <c:v>1.7572960939081157</c:v>
                </c:pt>
                <c:pt idx="71">
                  <c:v>1.7683262497470147</c:v>
                </c:pt>
                <c:pt idx="72">
                  <c:v>1.7793564055859135</c:v>
                </c:pt>
                <c:pt idx="73">
                  <c:v>1.7903865614248127</c:v>
                </c:pt>
                <c:pt idx="74">
                  <c:v>1.8014167172637117</c:v>
                </c:pt>
                <c:pt idx="75">
                  <c:v>1.8124468731026107</c:v>
                </c:pt>
                <c:pt idx="76">
                  <c:v>1.8234770289415096</c:v>
                </c:pt>
                <c:pt idx="77">
                  <c:v>1.8345071847804086</c:v>
                </c:pt>
                <c:pt idx="78">
                  <c:v>1.8455373406193076</c:v>
                </c:pt>
                <c:pt idx="79">
                  <c:v>1.8565674964582066</c:v>
                </c:pt>
                <c:pt idx="80">
                  <c:v>1.8675976522971056</c:v>
                </c:pt>
                <c:pt idx="81">
                  <c:v>1.8786278081360046</c:v>
                </c:pt>
                <c:pt idx="82">
                  <c:v>1.8896579639749036</c:v>
                </c:pt>
                <c:pt idx="83">
                  <c:v>1.9006881198138026</c:v>
                </c:pt>
                <c:pt idx="84">
                  <c:v>1.9117182756527018</c:v>
                </c:pt>
                <c:pt idx="85">
                  <c:v>1.9227484314916008</c:v>
                </c:pt>
                <c:pt idx="86">
                  <c:v>1.9337785873304998</c:v>
                </c:pt>
                <c:pt idx="87">
                  <c:v>1.9448087431693988</c:v>
                </c:pt>
                <c:pt idx="88">
                  <c:v>1.9558388990082978</c:v>
                </c:pt>
                <c:pt idx="89">
                  <c:v>1.9668690548471968</c:v>
                </c:pt>
                <c:pt idx="90">
                  <c:v>1.977899210686096</c:v>
                </c:pt>
                <c:pt idx="91">
                  <c:v>1.988929366524995</c:v>
                </c:pt>
                <c:pt idx="92">
                  <c:v>1.999959522363894</c:v>
                </c:pt>
                <c:pt idx="93">
                  <c:v>2.010989678202793</c:v>
                </c:pt>
                <c:pt idx="94">
                  <c:v>2.0220198340416919</c:v>
                </c:pt>
                <c:pt idx="95">
                  <c:v>2.0330499898805905</c:v>
                </c:pt>
                <c:pt idx="96">
                  <c:v>2.0440801457194899</c:v>
                </c:pt>
                <c:pt idx="97">
                  <c:v>2.0551103015583885</c:v>
                </c:pt>
                <c:pt idx="98">
                  <c:v>2.0592592592592593</c:v>
                </c:pt>
                <c:pt idx="99">
                  <c:v>2.0592592592592593</c:v>
                </c:pt>
                <c:pt idx="100">
                  <c:v>2.0592592592592593</c:v>
                </c:pt>
              </c:numCache>
            </c:numRef>
          </c:val>
          <c:smooth val="0"/>
        </c:ser>
        <c:ser>
          <c:idx val="2"/>
          <c:order val="2"/>
          <c:tx>
            <c:v>VIN-max</c:v>
          </c:tx>
          <c:spPr>
            <a:ln>
              <a:solidFill>
                <a:srgbClr val="FF0000"/>
              </a:solidFill>
              <a:prstDash val="solid"/>
            </a:ln>
          </c:spPr>
          <c:marker>
            <c:symbol val="none"/>
          </c:marker>
          <c:val>
            <c:numRef>
              <c:f>'Calculations - Single'!$AK$216:$AK$316</c:f>
              <c:numCache>
                <c:formatCode>0.000</c:formatCode>
                <c:ptCount val="101"/>
                <c:pt idx="0">
                  <c:v>1.0057142857142858</c:v>
                </c:pt>
                <c:pt idx="1">
                  <c:v>1.0155427212502124</c:v>
                </c:pt>
                <c:pt idx="2">
                  <c:v>1.0310854425004248</c:v>
                </c:pt>
                <c:pt idx="3">
                  <c:v>1.0466281637506369</c:v>
                </c:pt>
                <c:pt idx="4">
                  <c:v>1.0621708850008493</c:v>
                </c:pt>
                <c:pt idx="5">
                  <c:v>1.0777136062510617</c:v>
                </c:pt>
                <c:pt idx="6">
                  <c:v>1.0932563275012739</c:v>
                </c:pt>
                <c:pt idx="7">
                  <c:v>1.1087990487514863</c:v>
                </c:pt>
                <c:pt idx="8">
                  <c:v>1.1243417700016987</c:v>
                </c:pt>
                <c:pt idx="9">
                  <c:v>1.139884491251911</c:v>
                </c:pt>
                <c:pt idx="10">
                  <c:v>1.1554272125021234</c:v>
                </c:pt>
                <c:pt idx="11">
                  <c:v>1.1709699337523356</c:v>
                </c:pt>
                <c:pt idx="12">
                  <c:v>1.186512655002548</c:v>
                </c:pt>
                <c:pt idx="13">
                  <c:v>1.2011009917129249</c:v>
                </c:pt>
                <c:pt idx="14">
                  <c:v>1.20925160684821</c:v>
                </c:pt>
                <c:pt idx="15">
                  <c:v>1.2171159660772877</c:v>
                </c:pt>
                <c:pt idx="16">
                  <c:v>1.224722265683317</c:v>
                </c:pt>
                <c:pt idx="17">
                  <c:v>1.2320943562216546</c:v>
                </c:pt>
                <c:pt idx="18">
                  <c:v>1.2392526261339705</c:v>
                </c:pt>
                <c:pt idx="19">
                  <c:v>1.2462146669657161</c:v>
                </c:pt>
                <c:pt idx="20">
                  <c:v>1.252995782748016</c:v>
                </c:pt>
                <c:pt idx="21">
                  <c:v>1.25960938596804</c:v>
                </c:pt>
                <c:pt idx="22">
                  <c:v>1.2660673095428179</c:v>
                </c:pt>
                <c:pt idx="23">
                  <c:v>1.2723800555989944</c:v>
                </c:pt>
                <c:pt idx="24">
                  <c:v>1.2785569960333862</c:v>
                </c:pt>
                <c:pt idx="25">
                  <c:v>1.28460653580785</c:v>
                </c:pt>
                <c:pt idx="26">
                  <c:v>1.2905362471074402</c:v>
                </c:pt>
                <c:pt idx="27">
                  <c:v>1.2963529804747955</c:v>
                </c:pt>
                <c:pt idx="28">
                  <c:v>1.3020629575734435</c:v>
                </c:pt>
                <c:pt idx="29">
                  <c:v>1.3076718491607562</c:v>
                </c:pt>
                <c:pt idx="30">
                  <c:v>1.3131848410545792</c:v>
                </c:pt>
                <c:pt idx="31">
                  <c:v>1.3186066902786464</c:v>
                </c:pt>
                <c:pt idx="32">
                  <c:v>1.323941773116899</c:v>
                </c:pt>
                <c:pt idx="33">
                  <c:v>1.3291941264577705</c:v>
                </c:pt>
                <c:pt idx="34">
                  <c:v>1.3343674835392585</c:v>
                </c:pt>
                <c:pt idx="35">
                  <c:v>1.3394653049946108</c:v>
                </c:pt>
                <c:pt idx="36">
                  <c:v>1.3444908059323828</c:v>
                </c:pt>
                <c:pt idx="37">
                  <c:v>1.3494469796529514</c:v>
                </c:pt>
                <c:pt idx="38">
                  <c:v>1.3543366184984329</c:v>
                </c:pt>
                <c:pt idx="39">
                  <c:v>1.3591623322484425</c:v>
                </c:pt>
                <c:pt idx="40">
                  <c:v>1.3639265644057836</c:v>
                </c:pt>
                <c:pt idx="41">
                  <c:v>1.3686316066605579</c:v>
                </c:pt>
                <c:pt idx="42">
                  <c:v>1.3732796117756958</c:v>
                </c:pt>
                <c:pt idx="43">
                  <c:v>1.3778726050995049</c:v>
                </c:pt>
                <c:pt idx="44">
                  <c:v>1.3824124948799157</c:v>
                </c:pt>
                <c:pt idx="45">
                  <c:v>1.3869010815294316</c:v>
                </c:pt>
                <c:pt idx="46">
                  <c:v>1.3913400659683779</c:v>
                </c:pt>
                <c:pt idx="47">
                  <c:v>1.3957310571560984</c:v>
                </c:pt>
                <c:pt idx="48">
                  <c:v>1.4000755789046655</c:v>
                </c:pt>
                <c:pt idx="49">
                  <c:v>1.4043750760569158</c:v>
                </c:pt>
                <c:pt idx="50">
                  <c:v>1.4086309200998275</c:v>
                </c:pt>
                <c:pt idx="51">
                  <c:v>1.412844414275064</c:v>
                </c:pt>
                <c:pt idx="52">
                  <c:v>1.417016798240665</c:v>
                </c:pt>
                <c:pt idx="53">
                  <c:v>1.4211492523311435</c:v>
                </c:pt>
                <c:pt idx="54">
                  <c:v>1.425242901457487</c:v>
                </c:pt>
                <c:pt idx="55">
                  <c:v>1.4292988186835744</c:v>
                </c:pt>
                <c:pt idx="56">
                  <c:v>1.4333180285112348</c:v>
                </c:pt>
                <c:pt idx="57">
                  <c:v>1.4373015099024395</c:v>
                </c:pt>
                <c:pt idx="58">
                  <c:v>1.4412501990638928</c:v>
                </c:pt>
                <c:pt idx="59">
                  <c:v>1.4451649920164567</c:v>
                </c:pt>
                <c:pt idx="60">
                  <c:v>1.4490467469693902</c:v>
                </c:pt>
                <c:pt idx="61">
                  <c:v>1.4528962865172252</c:v>
                </c:pt>
                <c:pt idx="62">
                  <c:v>1.4567143996752079</c:v>
                </c:pt>
                <c:pt idx="63">
                  <c:v>1.4605018437675727</c:v>
                </c:pt>
                <c:pt idx="64">
                  <c:v>1.4642593461814488</c:v>
                </c:pt>
                <c:pt idx="65">
                  <c:v>1.4679876059979042</c:v>
                </c:pt>
                <c:pt idx="66">
                  <c:v>1.4716872955104847</c:v>
                </c:pt>
                <c:pt idx="67">
                  <c:v>1.4753590616405896</c:v>
                </c:pt>
                <c:pt idx="68">
                  <c:v>1.5253592390204411</c:v>
                </c:pt>
                <c:pt idx="69">
                  <c:v>1.5333029751062537</c:v>
                </c:pt>
                <c:pt idx="70">
                  <c:v>1.5412467111920662</c:v>
                </c:pt>
                <c:pt idx="71">
                  <c:v>1.549190447277879</c:v>
                </c:pt>
                <c:pt idx="72">
                  <c:v>1.5571341833636914</c:v>
                </c:pt>
                <c:pt idx="73">
                  <c:v>1.5650779194495041</c:v>
                </c:pt>
                <c:pt idx="74">
                  <c:v>1.5730216555353167</c:v>
                </c:pt>
                <c:pt idx="75">
                  <c:v>1.5809653916211293</c:v>
                </c:pt>
                <c:pt idx="76">
                  <c:v>1.5889091277069418</c:v>
                </c:pt>
                <c:pt idx="77">
                  <c:v>1.5968528637927544</c:v>
                </c:pt>
                <c:pt idx="78">
                  <c:v>1.6047965998785672</c:v>
                </c:pt>
                <c:pt idx="79">
                  <c:v>1.6127403359643795</c:v>
                </c:pt>
                <c:pt idx="80">
                  <c:v>1.620684072050192</c:v>
                </c:pt>
                <c:pt idx="81">
                  <c:v>1.6286278081360048</c:v>
                </c:pt>
                <c:pt idx="82">
                  <c:v>1.6365715442218174</c:v>
                </c:pt>
                <c:pt idx="83">
                  <c:v>1.6445152803076297</c:v>
                </c:pt>
                <c:pt idx="84">
                  <c:v>1.6524590163934427</c:v>
                </c:pt>
                <c:pt idx="85">
                  <c:v>1.6604027524792553</c:v>
                </c:pt>
                <c:pt idx="86">
                  <c:v>1.6683464885650676</c:v>
                </c:pt>
                <c:pt idx="87">
                  <c:v>1.6762902246508804</c:v>
                </c:pt>
                <c:pt idx="88">
                  <c:v>1.684233960736693</c:v>
                </c:pt>
                <c:pt idx="89">
                  <c:v>1.6921776968225055</c:v>
                </c:pt>
                <c:pt idx="90">
                  <c:v>1.7001214329083183</c:v>
                </c:pt>
                <c:pt idx="91">
                  <c:v>1.7080651689941306</c:v>
                </c:pt>
                <c:pt idx="92">
                  <c:v>1.7160089050799434</c:v>
                </c:pt>
                <c:pt idx="93">
                  <c:v>1.7239526411657558</c:v>
                </c:pt>
                <c:pt idx="94">
                  <c:v>1.7318963772515683</c:v>
                </c:pt>
                <c:pt idx="95">
                  <c:v>1.7398401133373809</c:v>
                </c:pt>
                <c:pt idx="96">
                  <c:v>1.7477838494231936</c:v>
                </c:pt>
                <c:pt idx="97">
                  <c:v>1.755727585509006</c:v>
                </c:pt>
                <c:pt idx="98">
                  <c:v>1.7636713215948188</c:v>
                </c:pt>
                <c:pt idx="99">
                  <c:v>1.7716150576806313</c:v>
                </c:pt>
                <c:pt idx="100">
                  <c:v>1.7795587937664439</c:v>
                </c:pt>
              </c:numCache>
            </c:numRef>
          </c:val>
          <c:smooth val="0"/>
        </c:ser>
        <c:dLbls>
          <c:showLegendKey val="0"/>
          <c:showVal val="0"/>
          <c:showCatName val="0"/>
          <c:showSerName val="0"/>
          <c:showPercent val="0"/>
          <c:showBubbleSize val="0"/>
        </c:dLbls>
        <c:marker val="1"/>
        <c:smooth val="0"/>
        <c:axId val="131264896"/>
        <c:axId val="131266816"/>
      </c:lineChart>
      <c:catAx>
        <c:axId val="131264896"/>
        <c:scaling>
          <c:orientation val="minMax"/>
        </c:scaling>
        <c:delete val="0"/>
        <c:axPos val="b"/>
        <c:majorGridlines>
          <c:spPr>
            <a:ln w="15875">
              <a:solidFill>
                <a:srgbClr val="969696"/>
              </a:solidFill>
              <a:prstDash val="sysDash"/>
            </a:ln>
          </c:spPr>
        </c:majorGridlines>
        <c:title>
          <c:tx>
            <c:rich>
              <a:bodyPr/>
              <a:lstStyle/>
              <a:p>
                <a:pPr>
                  <a:defRPr sz="1200" b="1" i="0" u="none" strike="noStrike" baseline="0">
                    <a:solidFill>
                      <a:schemeClr val="tx1"/>
                    </a:solidFill>
                    <a:latin typeface="Arial" pitchFamily="34" charset="0"/>
                    <a:ea typeface="Calibri"/>
                    <a:cs typeface="Arial" pitchFamily="34" charset="0"/>
                  </a:defRPr>
                </a:pPr>
                <a:r>
                  <a:rPr lang="en-US" sz="1200">
                    <a:solidFill>
                      <a:schemeClr val="tx1"/>
                    </a:solidFill>
                    <a:latin typeface="Arial" pitchFamily="34" charset="0"/>
                    <a:cs typeface="Arial" pitchFamily="34" charset="0"/>
                  </a:rPr>
                  <a:t>Load Current (mA)</a:t>
                </a:r>
              </a:p>
            </c:rich>
          </c:tx>
          <c:layout>
            <c:manualLayout>
              <c:xMode val="edge"/>
              <c:yMode val="edge"/>
              <c:x val="0.45424135936496307"/>
              <c:y val="0.9410669161053864"/>
            </c:manualLayout>
          </c:layout>
          <c:overlay val="0"/>
          <c:spPr>
            <a:noFill/>
            <a:ln w="25400">
              <a:noFill/>
            </a:ln>
          </c:spPr>
        </c:title>
        <c:numFmt formatCode="0" sourceLinked="1"/>
        <c:majorTickMark val="in"/>
        <c:minorTickMark val="in"/>
        <c:tickLblPos val="nextTo"/>
        <c:spPr>
          <a:ln w="3175">
            <a:solidFill>
              <a:schemeClr val="tx1"/>
            </a:solidFill>
            <a:prstDash val="solid"/>
          </a:ln>
        </c:spPr>
        <c:txPr>
          <a:bodyPr rot="0" vert="horz"/>
          <a:lstStyle/>
          <a:p>
            <a:pPr>
              <a:defRPr sz="1100" b="1" i="0" u="none" strike="noStrike" baseline="0">
                <a:solidFill>
                  <a:schemeClr val="tx1"/>
                </a:solidFill>
                <a:latin typeface="Arial" pitchFamily="34" charset="0"/>
                <a:ea typeface="Calibri"/>
                <a:cs typeface="Arial" pitchFamily="34" charset="0"/>
              </a:defRPr>
            </a:pPr>
            <a:endParaRPr lang="ko-KR"/>
          </a:p>
        </c:txPr>
        <c:crossAx val="131266816"/>
        <c:crosses val="autoZero"/>
        <c:auto val="1"/>
        <c:lblAlgn val="ctr"/>
        <c:lblOffset val="100"/>
        <c:tickLblSkip val="20"/>
        <c:tickMarkSkip val="10"/>
        <c:noMultiLvlLbl val="0"/>
      </c:catAx>
      <c:valAx>
        <c:axId val="131266816"/>
        <c:scaling>
          <c:orientation val="minMax"/>
          <c:max val="2.2000000000000002"/>
          <c:min val="1"/>
        </c:scaling>
        <c:delete val="0"/>
        <c:axPos val="l"/>
        <c:majorGridlines>
          <c:spPr>
            <a:ln w="15875">
              <a:solidFill>
                <a:srgbClr val="808080"/>
              </a:solidFill>
              <a:prstDash val="solid"/>
            </a:ln>
          </c:spPr>
        </c:majorGridlines>
        <c:title>
          <c:tx>
            <c:rich>
              <a:bodyPr/>
              <a:lstStyle/>
              <a:p>
                <a:pPr>
                  <a:defRPr sz="1400" b="1" i="0" u="none" strike="noStrike" baseline="0">
                    <a:solidFill>
                      <a:schemeClr val="tx1"/>
                    </a:solidFill>
                    <a:latin typeface="Arial" pitchFamily="34" charset="0"/>
                    <a:ea typeface="Calibri"/>
                    <a:cs typeface="Arial" pitchFamily="34" charset="0"/>
                  </a:defRPr>
                </a:pPr>
                <a:r>
                  <a:rPr lang="en-US" sz="1200" b="1">
                    <a:solidFill>
                      <a:schemeClr val="tx1"/>
                    </a:solidFill>
                    <a:latin typeface="Arial" pitchFamily="34" charset="0"/>
                    <a:cs typeface="Arial" pitchFamily="34" charset="0"/>
                  </a:rPr>
                  <a:t>COMP</a:t>
                </a:r>
                <a:r>
                  <a:rPr lang="en-US" sz="1200" b="1" baseline="0">
                    <a:solidFill>
                      <a:schemeClr val="tx1"/>
                    </a:solidFill>
                    <a:latin typeface="Arial" pitchFamily="34" charset="0"/>
                    <a:cs typeface="Arial" pitchFamily="34" charset="0"/>
                  </a:rPr>
                  <a:t> Voltage (V)</a:t>
                </a:r>
                <a:endParaRPr lang="en-US" sz="1200" b="1">
                  <a:solidFill>
                    <a:schemeClr val="tx1"/>
                  </a:solidFill>
                  <a:latin typeface="Arial" pitchFamily="34" charset="0"/>
                  <a:cs typeface="Arial" pitchFamily="34" charset="0"/>
                </a:endParaRPr>
              </a:p>
            </c:rich>
          </c:tx>
          <c:layout>
            <c:manualLayout>
              <c:xMode val="edge"/>
              <c:yMode val="edge"/>
              <c:x val="1.5939635452545176E-2"/>
              <c:y val="0.34603169988013316"/>
            </c:manualLayout>
          </c:layout>
          <c:overlay val="0"/>
          <c:spPr>
            <a:noFill/>
            <a:ln w="25400">
              <a:noFill/>
            </a:ln>
          </c:spPr>
        </c:title>
        <c:numFmt formatCode="#,##0.0" sourceLinked="0"/>
        <c:majorTickMark val="out"/>
        <c:minorTickMark val="in"/>
        <c:tickLblPos val="nextTo"/>
        <c:spPr>
          <a:ln w="3175">
            <a:solidFill>
              <a:srgbClr val="000000"/>
            </a:solidFill>
            <a:prstDash val="solid"/>
          </a:ln>
        </c:spPr>
        <c:txPr>
          <a:bodyPr rot="0" vert="horz"/>
          <a:lstStyle/>
          <a:p>
            <a:pPr>
              <a:defRPr sz="1100" b="1" i="0" u="none" strike="noStrike" baseline="0">
                <a:solidFill>
                  <a:schemeClr val="tx1"/>
                </a:solidFill>
                <a:latin typeface="Arial" pitchFamily="34" charset="0"/>
                <a:ea typeface="Calibri"/>
                <a:cs typeface="Arial" pitchFamily="34" charset="0"/>
              </a:defRPr>
            </a:pPr>
            <a:endParaRPr lang="ko-KR"/>
          </a:p>
        </c:txPr>
        <c:crossAx val="131264896"/>
        <c:crossesAt val="0"/>
        <c:crossBetween val="between"/>
        <c:majorUnit val="0.2"/>
        <c:minorUnit val="0.1"/>
      </c:valAx>
      <c:spPr>
        <a:solidFill>
          <a:srgbClr val="FFFFFF"/>
        </a:solidFill>
        <a:ln w="25400">
          <a:noFill/>
        </a:ln>
      </c:spPr>
    </c:plotArea>
    <c:legend>
      <c:legendPos val="t"/>
      <c:layout>
        <c:manualLayout>
          <c:xMode val="edge"/>
          <c:yMode val="edge"/>
          <c:x val="0.50279342989103104"/>
          <c:y val="1.6951025877806759E-2"/>
          <c:w val="0.44417947756530435"/>
          <c:h val="8.9795049320617604E-2"/>
        </c:manualLayout>
      </c:layout>
      <c:overlay val="0"/>
      <c:spPr>
        <a:solidFill>
          <a:srgbClr val="FFFFFF"/>
        </a:solidFill>
        <a:ln w="25400">
          <a:noFill/>
        </a:ln>
      </c:spPr>
      <c:txPr>
        <a:bodyPr/>
        <a:lstStyle/>
        <a:p>
          <a:pPr>
            <a:defRPr sz="1400" b="0" i="0" u="none" strike="noStrike" baseline="0">
              <a:solidFill>
                <a:srgbClr val="000000"/>
              </a:solidFill>
              <a:latin typeface="Arial" pitchFamily="34" charset="0"/>
              <a:ea typeface="Calibri"/>
              <a:cs typeface="Arial" pitchFamily="34" charset="0"/>
            </a:defRPr>
          </a:pPr>
          <a:endParaRPr lang="ko-KR"/>
        </a:p>
      </c:txPr>
    </c:legend>
    <c:plotVisOnly val="1"/>
    <c:dispBlanksAs val="gap"/>
    <c:showDLblsOverMax val="0"/>
  </c:chart>
  <c:spPr>
    <a:solidFill>
      <a:srgbClr val="FFFFFF"/>
    </a:solidFill>
    <a:ln w="9525">
      <a:solidFill>
        <a:srgbClr val="808080"/>
      </a:solidFill>
    </a:ln>
  </c:spPr>
  <c:txPr>
    <a:bodyPr/>
    <a:lstStyle/>
    <a:p>
      <a:pPr>
        <a:defRPr sz="850" b="0" i="0" u="none" strike="noStrike" baseline="0">
          <a:solidFill>
            <a:srgbClr val="000000"/>
          </a:solidFill>
          <a:latin typeface="Arial"/>
          <a:ea typeface="Arial"/>
          <a:cs typeface="Arial"/>
        </a:defRPr>
      </a:pPr>
      <a:endParaRPr lang="ko-KR"/>
    </a:p>
  </c:txPr>
  <c:printSettings>
    <c:headerFooter alignWithMargins="0"/>
    <c:pageMargins b="1" l="0.750000000000006" r="0.750000000000006" t="1" header="0.5" footer="0.5"/>
    <c:pageSetup paperSize="5" orientation="portrait"/>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ko-K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rgbClr val="000000"/>
                </a:solidFill>
                <a:latin typeface="Arial" pitchFamily="34" charset="0"/>
                <a:ea typeface="Calibri"/>
                <a:cs typeface="Arial" pitchFamily="34" charset="0"/>
              </a:defRPr>
            </a:pPr>
            <a:r>
              <a:rPr lang="en-US" sz="1800" b="1" i="0" baseline="0">
                <a:effectLst/>
                <a:sym typeface="Symbol"/>
              </a:rPr>
              <a:t></a:t>
            </a:r>
            <a:r>
              <a:rPr lang="en-US" sz="1800" b="1" i="0" baseline="0">
                <a:effectLst/>
              </a:rPr>
              <a:t>, V</a:t>
            </a:r>
            <a:r>
              <a:rPr lang="en-US" sz="1800" b="1" i="0" baseline="-25000">
                <a:effectLst/>
              </a:rPr>
              <a:t>IN</a:t>
            </a:r>
            <a:r>
              <a:rPr lang="en-US" sz="1800" b="1" i="0" baseline="0">
                <a:effectLst/>
              </a:rPr>
              <a:t> = V</a:t>
            </a:r>
            <a:r>
              <a:rPr lang="en-US" sz="1800" b="1" i="0" baseline="-25000">
                <a:effectLst/>
              </a:rPr>
              <a:t>IN(nom)</a:t>
            </a:r>
            <a:endParaRPr lang="en-US">
              <a:effectLst/>
            </a:endParaRPr>
          </a:p>
        </c:rich>
      </c:tx>
      <c:layout>
        <c:manualLayout>
          <c:xMode val="edge"/>
          <c:yMode val="edge"/>
          <c:x val="8.2586704916618195E-2"/>
          <c:y val="1.8363289746112718E-2"/>
        </c:manualLayout>
      </c:layout>
      <c:overlay val="0"/>
      <c:spPr>
        <a:noFill/>
        <a:ln w="25400">
          <a:noFill/>
        </a:ln>
      </c:spPr>
    </c:title>
    <c:autoTitleDeleted val="0"/>
    <c:plotArea>
      <c:layout>
        <c:manualLayout>
          <c:layoutTarget val="inner"/>
          <c:xMode val="edge"/>
          <c:yMode val="edge"/>
          <c:x val="7.6761884085804283E-2"/>
          <c:y val="0.12133523343001466"/>
          <c:w val="0.82579990228506128"/>
          <c:h val="0.7558980268938309"/>
        </c:manualLayout>
      </c:layout>
      <c:lineChart>
        <c:grouping val="standard"/>
        <c:varyColors val="0"/>
        <c:ser>
          <c:idx val="0"/>
          <c:order val="0"/>
          <c:tx>
            <c:v>Efficiency</c:v>
          </c:tx>
          <c:spPr>
            <a:ln w="38100">
              <a:solidFill>
                <a:srgbClr val="FF0000"/>
              </a:solidFill>
              <a:prstDash val="solid"/>
            </a:ln>
          </c:spPr>
          <c:marker>
            <c:symbol val="none"/>
          </c:marker>
          <c:cat>
            <c:numRef>
              <c:f>'Calculations - Single'!$AM$5:$AM$105</c:f>
              <c:numCache>
                <c:formatCode>0</c:formatCode>
                <c:ptCount val="101"/>
                <c:pt idx="0">
                  <c:v>1.0000000000000002E-6</c:v>
                </c:pt>
                <c:pt idx="1">
                  <c:v>3</c:v>
                </c:pt>
                <c:pt idx="2">
                  <c:v>6</c:v>
                </c:pt>
                <c:pt idx="3">
                  <c:v>9</c:v>
                </c:pt>
                <c:pt idx="4">
                  <c:v>12</c:v>
                </c:pt>
                <c:pt idx="5">
                  <c:v>15</c:v>
                </c:pt>
                <c:pt idx="6">
                  <c:v>18</c:v>
                </c:pt>
                <c:pt idx="7">
                  <c:v>21</c:v>
                </c:pt>
                <c:pt idx="8">
                  <c:v>24</c:v>
                </c:pt>
                <c:pt idx="9">
                  <c:v>27</c:v>
                </c:pt>
                <c:pt idx="10">
                  <c:v>30</c:v>
                </c:pt>
                <c:pt idx="11">
                  <c:v>33</c:v>
                </c:pt>
                <c:pt idx="12">
                  <c:v>36</c:v>
                </c:pt>
                <c:pt idx="13">
                  <c:v>39</c:v>
                </c:pt>
                <c:pt idx="14">
                  <c:v>42</c:v>
                </c:pt>
                <c:pt idx="15">
                  <c:v>45</c:v>
                </c:pt>
                <c:pt idx="16">
                  <c:v>48</c:v>
                </c:pt>
                <c:pt idx="17">
                  <c:v>51.000000000000007</c:v>
                </c:pt>
                <c:pt idx="18">
                  <c:v>54</c:v>
                </c:pt>
                <c:pt idx="19">
                  <c:v>56.999999999999993</c:v>
                </c:pt>
                <c:pt idx="20">
                  <c:v>60</c:v>
                </c:pt>
                <c:pt idx="21">
                  <c:v>63</c:v>
                </c:pt>
                <c:pt idx="22">
                  <c:v>66</c:v>
                </c:pt>
                <c:pt idx="23">
                  <c:v>69</c:v>
                </c:pt>
                <c:pt idx="24">
                  <c:v>72</c:v>
                </c:pt>
                <c:pt idx="25">
                  <c:v>75</c:v>
                </c:pt>
                <c:pt idx="26">
                  <c:v>78</c:v>
                </c:pt>
                <c:pt idx="27">
                  <c:v>81</c:v>
                </c:pt>
                <c:pt idx="28">
                  <c:v>84</c:v>
                </c:pt>
                <c:pt idx="29">
                  <c:v>87</c:v>
                </c:pt>
                <c:pt idx="30">
                  <c:v>90</c:v>
                </c:pt>
                <c:pt idx="31">
                  <c:v>93</c:v>
                </c:pt>
                <c:pt idx="32">
                  <c:v>96</c:v>
                </c:pt>
                <c:pt idx="33">
                  <c:v>99</c:v>
                </c:pt>
                <c:pt idx="34">
                  <c:v>102.00000000000001</c:v>
                </c:pt>
                <c:pt idx="35">
                  <c:v>105</c:v>
                </c:pt>
                <c:pt idx="36">
                  <c:v>108</c:v>
                </c:pt>
                <c:pt idx="37">
                  <c:v>111</c:v>
                </c:pt>
                <c:pt idx="38">
                  <c:v>113.99999999999999</c:v>
                </c:pt>
                <c:pt idx="39">
                  <c:v>117</c:v>
                </c:pt>
                <c:pt idx="40">
                  <c:v>120</c:v>
                </c:pt>
                <c:pt idx="41">
                  <c:v>122.99999999999999</c:v>
                </c:pt>
                <c:pt idx="42">
                  <c:v>126</c:v>
                </c:pt>
                <c:pt idx="43">
                  <c:v>129</c:v>
                </c:pt>
                <c:pt idx="44">
                  <c:v>132</c:v>
                </c:pt>
                <c:pt idx="45">
                  <c:v>135</c:v>
                </c:pt>
                <c:pt idx="46">
                  <c:v>138</c:v>
                </c:pt>
                <c:pt idx="47">
                  <c:v>141</c:v>
                </c:pt>
                <c:pt idx="48">
                  <c:v>144</c:v>
                </c:pt>
                <c:pt idx="49">
                  <c:v>147</c:v>
                </c:pt>
                <c:pt idx="50">
                  <c:v>150</c:v>
                </c:pt>
                <c:pt idx="51">
                  <c:v>153</c:v>
                </c:pt>
                <c:pt idx="52">
                  <c:v>156</c:v>
                </c:pt>
                <c:pt idx="53">
                  <c:v>159</c:v>
                </c:pt>
                <c:pt idx="54">
                  <c:v>162</c:v>
                </c:pt>
                <c:pt idx="55">
                  <c:v>165</c:v>
                </c:pt>
                <c:pt idx="56">
                  <c:v>168</c:v>
                </c:pt>
                <c:pt idx="57">
                  <c:v>170.99999999999997</c:v>
                </c:pt>
                <c:pt idx="58">
                  <c:v>174</c:v>
                </c:pt>
                <c:pt idx="59">
                  <c:v>177</c:v>
                </c:pt>
                <c:pt idx="60">
                  <c:v>180</c:v>
                </c:pt>
                <c:pt idx="61">
                  <c:v>183</c:v>
                </c:pt>
                <c:pt idx="62">
                  <c:v>186</c:v>
                </c:pt>
                <c:pt idx="63">
                  <c:v>189</c:v>
                </c:pt>
                <c:pt idx="64">
                  <c:v>192</c:v>
                </c:pt>
                <c:pt idx="65">
                  <c:v>195</c:v>
                </c:pt>
                <c:pt idx="66">
                  <c:v>198</c:v>
                </c:pt>
                <c:pt idx="67">
                  <c:v>201</c:v>
                </c:pt>
                <c:pt idx="68">
                  <c:v>204.00000000000003</c:v>
                </c:pt>
                <c:pt idx="69">
                  <c:v>207</c:v>
                </c:pt>
                <c:pt idx="70">
                  <c:v>210</c:v>
                </c:pt>
                <c:pt idx="71">
                  <c:v>213</c:v>
                </c:pt>
                <c:pt idx="72">
                  <c:v>216</c:v>
                </c:pt>
                <c:pt idx="73">
                  <c:v>219</c:v>
                </c:pt>
                <c:pt idx="74">
                  <c:v>222</c:v>
                </c:pt>
                <c:pt idx="75">
                  <c:v>224.99999999999997</c:v>
                </c:pt>
                <c:pt idx="76">
                  <c:v>227.99999999999997</c:v>
                </c:pt>
                <c:pt idx="77">
                  <c:v>230.99999999999997</c:v>
                </c:pt>
                <c:pt idx="78">
                  <c:v>234</c:v>
                </c:pt>
                <c:pt idx="79">
                  <c:v>237</c:v>
                </c:pt>
                <c:pt idx="80">
                  <c:v>240</c:v>
                </c:pt>
                <c:pt idx="81">
                  <c:v>243</c:v>
                </c:pt>
                <c:pt idx="82">
                  <c:v>245.99999999999997</c:v>
                </c:pt>
                <c:pt idx="83">
                  <c:v>248.99999999999997</c:v>
                </c:pt>
                <c:pt idx="84">
                  <c:v>252</c:v>
                </c:pt>
                <c:pt idx="85">
                  <c:v>255</c:v>
                </c:pt>
                <c:pt idx="86">
                  <c:v>258</c:v>
                </c:pt>
                <c:pt idx="87">
                  <c:v>261</c:v>
                </c:pt>
                <c:pt idx="88">
                  <c:v>264</c:v>
                </c:pt>
                <c:pt idx="89">
                  <c:v>267</c:v>
                </c:pt>
                <c:pt idx="90">
                  <c:v>270</c:v>
                </c:pt>
                <c:pt idx="91">
                  <c:v>273</c:v>
                </c:pt>
                <c:pt idx="92">
                  <c:v>276</c:v>
                </c:pt>
                <c:pt idx="93">
                  <c:v>279</c:v>
                </c:pt>
                <c:pt idx="94">
                  <c:v>282</c:v>
                </c:pt>
                <c:pt idx="95">
                  <c:v>285</c:v>
                </c:pt>
                <c:pt idx="96">
                  <c:v>288</c:v>
                </c:pt>
                <c:pt idx="97">
                  <c:v>291</c:v>
                </c:pt>
                <c:pt idx="98">
                  <c:v>294</c:v>
                </c:pt>
                <c:pt idx="99">
                  <c:v>297</c:v>
                </c:pt>
                <c:pt idx="100">
                  <c:v>300</c:v>
                </c:pt>
              </c:numCache>
            </c:numRef>
          </c:cat>
          <c:val>
            <c:numRef>
              <c:f>'Calculations - Single'!$BY$5:$BY$105</c:f>
              <c:numCache>
                <c:formatCode>0.00</c:formatCode>
                <c:ptCount val="101"/>
                <c:pt idx="0">
                  <c:v>2.5858275002370047E-4</c:v>
                </c:pt>
                <c:pt idx="1">
                  <c:v>80.573818361786678</c:v>
                </c:pt>
                <c:pt idx="2">
                  <c:v>83.140289521270816</c:v>
                </c:pt>
                <c:pt idx="3">
                  <c:v>84.008402463000536</c:v>
                </c:pt>
                <c:pt idx="4">
                  <c:v>84.426866885111863</c:v>
                </c:pt>
                <c:pt idx="5">
                  <c:v>84.659100973006133</c:v>
                </c:pt>
                <c:pt idx="6">
                  <c:v>84.79513598010908</c:v>
                </c:pt>
                <c:pt idx="7">
                  <c:v>84.874224713420432</c:v>
                </c:pt>
                <c:pt idx="8">
                  <c:v>84.916278495252016</c:v>
                </c:pt>
                <c:pt idx="9">
                  <c:v>84.932511798330395</c:v>
                </c:pt>
                <c:pt idx="10">
                  <c:v>84.929748356128272</c:v>
                </c:pt>
                <c:pt idx="11">
                  <c:v>84.912395984837602</c:v>
                </c:pt>
                <c:pt idx="12">
                  <c:v>84.634282491361731</c:v>
                </c:pt>
                <c:pt idx="13">
                  <c:v>84.125275158376326</c:v>
                </c:pt>
                <c:pt idx="14">
                  <c:v>84.420679641612566</c:v>
                </c:pt>
                <c:pt idx="15">
                  <c:v>84.679598328186458</c:v>
                </c:pt>
                <c:pt idx="16">
                  <c:v>84.90833406079328</c:v>
                </c:pt>
                <c:pt idx="17">
                  <c:v>85.111803586777341</c:v>
                </c:pt>
                <c:pt idx="18">
                  <c:v>85.293901138742143</c:v>
                </c:pt>
                <c:pt idx="19">
                  <c:v>85.457752797331239</c:v>
                </c:pt>
                <c:pt idx="20">
                  <c:v>85.605898198625084</c:v>
                </c:pt>
                <c:pt idx="21">
                  <c:v>85.740422769396574</c:v>
                </c:pt>
                <c:pt idx="22">
                  <c:v>85.863055569749235</c:v>
                </c:pt>
                <c:pt idx="23">
                  <c:v>85.975242777383954</c:v>
                </c:pt>
                <c:pt idx="24">
                  <c:v>86.078203628387698</c:v>
                </c:pt>
                <c:pt idx="25">
                  <c:v>86.172973529224365</c:v>
                </c:pt>
                <c:pt idx="26">
                  <c:v>86.260437656777327</c:v>
                </c:pt>
                <c:pt idx="27">
                  <c:v>86.341357415849885</c:v>
                </c:pt>
                <c:pt idx="28">
                  <c:v>86.416391470589744</c:v>
                </c:pt>
                <c:pt idx="29">
                  <c:v>86.486112609407414</c:v>
                </c:pt>
                <c:pt idx="30">
                  <c:v>86.551021378724712</c:v>
                </c:pt>
                <c:pt idx="31">
                  <c:v>86.611557187796592</c:v>
                </c:pt>
                <c:pt idx="32">
                  <c:v>86.668107417253182</c:v>
                </c:pt>
                <c:pt idx="33">
                  <c:v>86.983917219616032</c:v>
                </c:pt>
                <c:pt idx="34">
                  <c:v>87.348507210653779</c:v>
                </c:pt>
                <c:pt idx="35">
                  <c:v>87.69019810352367</c:v>
                </c:pt>
                <c:pt idx="36">
                  <c:v>87.291970576364676</c:v>
                </c:pt>
                <c:pt idx="37">
                  <c:v>87.396739347843877</c:v>
                </c:pt>
                <c:pt idx="38">
                  <c:v>87.493829111641105</c:v>
                </c:pt>
                <c:pt idx="39">
                  <c:v>87.583881759627729</c:v>
                </c:pt>
                <c:pt idx="40">
                  <c:v>87.667470810010656</c:v>
                </c:pt>
                <c:pt idx="41">
                  <c:v>87.745110162588205</c:v>
                </c:pt>
                <c:pt idx="42">
                  <c:v>87.817261556067564</c:v>
                </c:pt>
                <c:pt idx="43">
                  <c:v>87.884340944549834</c:v>
                </c:pt>
                <c:pt idx="44">
                  <c:v>87.94672397007183</c:v>
                </c:pt>
                <c:pt idx="45">
                  <c:v>88.004750676009863</c:v>
                </c:pt>
                <c:pt idx="46">
                  <c:v>88.058729580426146</c:v>
                </c:pt>
                <c:pt idx="47">
                  <c:v>88.108941207709719</c:v>
                </c:pt>
                <c:pt idx="48">
                  <c:v>88.155641160083348</c:v>
                </c:pt>
                <c:pt idx="49">
                  <c:v>88.199062796899369</c:v>
                </c:pt>
                <c:pt idx="50">
                  <c:v>88.239419578502606</c:v>
                </c:pt>
                <c:pt idx="51">
                  <c:v>88.276907122294944</c:v>
                </c:pt>
                <c:pt idx="52">
                  <c:v>88.311705011108629</c:v>
                </c:pt>
                <c:pt idx="53">
                  <c:v>88.343978387772154</c:v>
                </c:pt>
                <c:pt idx="54">
                  <c:v>88.373879364588518</c:v>
                </c:pt>
                <c:pt idx="55">
                  <c:v>88.401548272146456</c:v>
                </c:pt>
                <c:pt idx="56">
                  <c:v>88.42711476829264</c:v>
                </c:pt>
                <c:pt idx="57">
                  <c:v>88.450698825080437</c:v>
                </c:pt>
                <c:pt idx="58">
                  <c:v>88.472411608978732</c:v>
                </c:pt>
                <c:pt idx="59">
                  <c:v>88.492356267486045</c:v>
                </c:pt>
                <c:pt idx="60">
                  <c:v>88.510628633488253</c:v>
                </c:pt>
                <c:pt idx="61">
                  <c:v>88.5273178571626</c:v>
                </c:pt>
                <c:pt idx="62">
                  <c:v>88.542506973925555</c:v>
                </c:pt>
                <c:pt idx="63">
                  <c:v>88.556273415807425</c:v>
                </c:pt>
                <c:pt idx="64">
                  <c:v>88.568689472683417</c:v>
                </c:pt>
                <c:pt idx="65">
                  <c:v>88.579822708973268</c:v>
                </c:pt>
                <c:pt idx="66">
                  <c:v>88.589736340718588</c:v>
                </c:pt>
                <c:pt idx="67">
                  <c:v>88.598489577340885</c:v>
                </c:pt>
                <c:pt idx="68">
                  <c:v>88.606137931860076</c:v>
                </c:pt>
                <c:pt idx="69">
                  <c:v>88.612733502900142</c:v>
                </c:pt>
                <c:pt idx="70">
                  <c:v>88.618325231415369</c:v>
                </c:pt>
                <c:pt idx="71">
                  <c:v>88.622959134728376</c:v>
                </c:pt>
                <c:pt idx="72">
                  <c:v>88.626678520173925</c:v>
                </c:pt>
                <c:pt idx="73">
                  <c:v>88.629524180381708</c:v>
                </c:pt>
                <c:pt idx="74">
                  <c:v>88.631534572004682</c:v>
                </c:pt>
                <c:pt idx="75">
                  <c:v>88.632745979498935</c:v>
                </c:pt>
                <c:pt idx="76">
                  <c:v>88.633192665387583</c:v>
                </c:pt>
                <c:pt idx="77">
                  <c:v>88.632907008285827</c:v>
                </c:pt>
                <c:pt idx="78">
                  <c:v>88.631919629829554</c:v>
                </c:pt>
                <c:pt idx="79">
                  <c:v>88.630259511529758</c:v>
                </c:pt>
                <c:pt idx="80">
                  <c:v>88.627954102469431</c:v>
                </c:pt>
                <c:pt idx="81">
                  <c:v>88.625029418665562</c:v>
                </c:pt>
                <c:pt idx="82">
                  <c:v>88.621510134836271</c:v>
                </c:pt>
                <c:pt idx="83">
                  <c:v>88.617419669238799</c:v>
                </c:pt>
                <c:pt idx="84">
                  <c:v>88.612780262178717</c:v>
                </c:pt>
                <c:pt idx="85">
                  <c:v>88.60761304873202</c:v>
                </c:pt>
                <c:pt idx="86">
                  <c:v>88.601938126169941</c:v>
                </c:pt>
                <c:pt idx="87">
                  <c:v>88.595774616529368</c:v>
                </c:pt>
                <c:pt idx="88">
                  <c:v>88.589140724730058</c:v>
                </c:pt>
                <c:pt idx="89">
                  <c:v>88.582053792602892</c:v>
                </c:pt>
                <c:pt idx="90">
                  <c:v>88.574530349159488</c:v>
                </c:pt>
                <c:pt idx="91">
                  <c:v>88.566586157403577</c:v>
                </c:pt>
                <c:pt idx="92">
                  <c:v>88.558236257957518</c:v>
                </c:pt>
                <c:pt idx="93">
                  <c:v>88.549495009753201</c:v>
                </c:pt>
                <c:pt idx="94">
                  <c:v>88.540376128013946</c:v>
                </c:pt>
                <c:pt idx="95">
                  <c:v>88.530892719735377</c:v>
                </c:pt>
                <c:pt idx="96">
                  <c:v>88.521057316853955</c:v>
                </c:pt>
                <c:pt idx="97">
                  <c:v>88.510881907277195</c:v>
                </c:pt>
                <c:pt idx="98">
                  <c:v>88.488303507819296</c:v>
                </c:pt>
                <c:pt idx="99">
                  <c:v>88.457963164513529</c:v>
                </c:pt>
                <c:pt idx="100">
                  <c:v>88.427095434560485</c:v>
                </c:pt>
              </c:numCache>
            </c:numRef>
          </c:val>
          <c:smooth val="0"/>
        </c:ser>
        <c:dLbls>
          <c:showLegendKey val="0"/>
          <c:showVal val="0"/>
          <c:showCatName val="0"/>
          <c:showSerName val="0"/>
          <c:showPercent val="0"/>
          <c:showBubbleSize val="0"/>
        </c:dLbls>
        <c:marker val="1"/>
        <c:smooth val="0"/>
        <c:axId val="131176320"/>
        <c:axId val="131198976"/>
      </c:lineChart>
      <c:lineChart>
        <c:grouping val="standard"/>
        <c:varyColors val="0"/>
        <c:ser>
          <c:idx val="2"/>
          <c:order val="1"/>
          <c:tx>
            <c:strRef>
              <c:f>'Calculations - Single'!$BM$3</c:f>
              <c:strCache>
                <c:ptCount val="1"/>
                <c:pt idx="0">
                  <c:v>Flyback Diode Loss</c:v>
                </c:pt>
              </c:strCache>
            </c:strRef>
          </c:tx>
          <c:spPr>
            <a:ln w="38100">
              <a:solidFill>
                <a:srgbClr val="808000"/>
              </a:solidFill>
              <a:prstDash val="sysDash"/>
            </a:ln>
          </c:spPr>
          <c:marker>
            <c:symbol val="none"/>
          </c:marker>
          <c:cat>
            <c:numLit>
              <c:formatCode>General</c:formatCode>
              <c:ptCount val="201"/>
              <c:pt idx="0">
                <c:v>0</c:v>
              </c:pt>
              <c:pt idx="1">
                <c:v>2.5000000000000001E-2</c:v>
              </c:pt>
              <c:pt idx="2">
                <c:v>0.05</c:v>
              </c:pt>
              <c:pt idx="3">
                <c:v>7.4999999999999997E-2</c:v>
              </c:pt>
              <c:pt idx="4">
                <c:v>0.1</c:v>
              </c:pt>
              <c:pt idx="5">
                <c:v>0.125</c:v>
              </c:pt>
              <c:pt idx="6">
                <c:v>0.15</c:v>
              </c:pt>
              <c:pt idx="7">
                <c:v>0.17500000000000002</c:v>
              </c:pt>
              <c:pt idx="8">
                <c:v>0.2</c:v>
              </c:pt>
              <c:pt idx="9">
                <c:v>0.22499999999999998</c:v>
              </c:pt>
              <c:pt idx="10">
                <c:v>0.25</c:v>
              </c:pt>
              <c:pt idx="11">
                <c:v>0.27500000000000002</c:v>
              </c:pt>
              <c:pt idx="12">
                <c:v>0.3</c:v>
              </c:pt>
              <c:pt idx="13">
                <c:v>0.32500000000000001</c:v>
              </c:pt>
              <c:pt idx="14">
                <c:v>0.35000000000000003</c:v>
              </c:pt>
              <c:pt idx="15">
                <c:v>0.375</c:v>
              </c:pt>
              <c:pt idx="16">
                <c:v>0.4</c:v>
              </c:pt>
              <c:pt idx="17">
                <c:v>0.42500000000000004</c:v>
              </c:pt>
              <c:pt idx="18">
                <c:v>0.44999999999999996</c:v>
              </c:pt>
              <c:pt idx="19">
                <c:v>0.47499999999999998</c:v>
              </c:pt>
              <c:pt idx="20">
                <c:v>0.5</c:v>
              </c:pt>
              <c:pt idx="21">
                <c:v>0.52500000000000002</c:v>
              </c:pt>
              <c:pt idx="22">
                <c:v>0.55000000000000004</c:v>
              </c:pt>
              <c:pt idx="23">
                <c:v>0.57500000000000007</c:v>
              </c:pt>
              <c:pt idx="24">
                <c:v>0.6</c:v>
              </c:pt>
              <c:pt idx="25">
                <c:v>0.625</c:v>
              </c:pt>
              <c:pt idx="26">
                <c:v>0.65</c:v>
              </c:pt>
              <c:pt idx="27">
                <c:v>0.67500000000000004</c:v>
              </c:pt>
              <c:pt idx="28">
                <c:v>0.70000000000000007</c:v>
              </c:pt>
              <c:pt idx="29">
                <c:v>0.72499999999999998</c:v>
              </c:pt>
              <c:pt idx="30">
                <c:v>0.75</c:v>
              </c:pt>
              <c:pt idx="31">
                <c:v>0.77500000000000002</c:v>
              </c:pt>
              <c:pt idx="32">
                <c:v>0.8</c:v>
              </c:pt>
              <c:pt idx="33">
                <c:v>0.82500000000000007</c:v>
              </c:pt>
              <c:pt idx="34">
                <c:v>0.85000000000000009</c:v>
              </c:pt>
              <c:pt idx="35">
                <c:v>0.875</c:v>
              </c:pt>
              <c:pt idx="36">
                <c:v>0.89999999999999991</c:v>
              </c:pt>
              <c:pt idx="37">
                <c:v>0.92500000000000004</c:v>
              </c:pt>
              <c:pt idx="38">
                <c:v>0.95</c:v>
              </c:pt>
              <c:pt idx="39">
                <c:v>0.97500000000000009</c:v>
              </c:pt>
              <c:pt idx="40">
                <c:v>1</c:v>
              </c:pt>
              <c:pt idx="41">
                <c:v>1.0249999999999999</c:v>
              </c:pt>
              <c:pt idx="42">
                <c:v>1.05</c:v>
              </c:pt>
              <c:pt idx="43">
                <c:v>1.075</c:v>
              </c:pt>
              <c:pt idx="44">
                <c:v>1.1000000000000001</c:v>
              </c:pt>
              <c:pt idx="45">
                <c:v>1.125</c:v>
              </c:pt>
              <c:pt idx="46">
                <c:v>1.1500000000000001</c:v>
              </c:pt>
              <c:pt idx="47">
                <c:v>1.1749999999999998</c:v>
              </c:pt>
              <c:pt idx="48">
                <c:v>1.2</c:v>
              </c:pt>
              <c:pt idx="49">
                <c:v>1.2250000000000001</c:v>
              </c:pt>
              <c:pt idx="50">
                <c:v>1.25</c:v>
              </c:pt>
              <c:pt idx="51">
                <c:v>1.2749999999999999</c:v>
              </c:pt>
              <c:pt idx="52">
                <c:v>1.3</c:v>
              </c:pt>
              <c:pt idx="53">
                <c:v>1.3250000000000002</c:v>
              </c:pt>
              <c:pt idx="54">
                <c:v>1.35</c:v>
              </c:pt>
              <c:pt idx="55">
                <c:v>1.375</c:v>
              </c:pt>
              <c:pt idx="56">
                <c:v>1.4000000000000001</c:v>
              </c:pt>
              <c:pt idx="57">
                <c:v>1.4249999999999998</c:v>
              </c:pt>
              <c:pt idx="58">
                <c:v>1.45</c:v>
              </c:pt>
              <c:pt idx="59">
                <c:v>1.4749999999999999</c:v>
              </c:pt>
              <c:pt idx="60">
                <c:v>1.5</c:v>
              </c:pt>
              <c:pt idx="61">
                <c:v>1.5249999999999999</c:v>
              </c:pt>
              <c:pt idx="62">
                <c:v>1.55</c:v>
              </c:pt>
              <c:pt idx="63">
                <c:v>1.575</c:v>
              </c:pt>
              <c:pt idx="64">
                <c:v>1.6</c:v>
              </c:pt>
              <c:pt idx="65">
                <c:v>1.625</c:v>
              </c:pt>
              <c:pt idx="66">
                <c:v>1.6500000000000001</c:v>
              </c:pt>
              <c:pt idx="67">
                <c:v>1.675</c:v>
              </c:pt>
              <c:pt idx="68">
                <c:v>1.7000000000000002</c:v>
              </c:pt>
              <c:pt idx="69">
                <c:v>1.7249999999999999</c:v>
              </c:pt>
              <c:pt idx="70">
                <c:v>1.75</c:v>
              </c:pt>
              <c:pt idx="71">
                <c:v>1.7749999999999999</c:v>
              </c:pt>
              <c:pt idx="72">
                <c:v>1.7999999999999998</c:v>
              </c:pt>
              <c:pt idx="73">
                <c:v>1.825</c:v>
              </c:pt>
              <c:pt idx="74">
                <c:v>1.85</c:v>
              </c:pt>
              <c:pt idx="75">
                <c:v>1.875</c:v>
              </c:pt>
              <c:pt idx="76">
                <c:v>1.9</c:v>
              </c:pt>
              <c:pt idx="77">
                <c:v>1.925</c:v>
              </c:pt>
              <c:pt idx="78">
                <c:v>1.9500000000000002</c:v>
              </c:pt>
              <c:pt idx="79">
                <c:v>1.9750000000000001</c:v>
              </c:pt>
              <c:pt idx="80">
                <c:v>2</c:v>
              </c:pt>
              <c:pt idx="81">
                <c:v>2.0250000000000004</c:v>
              </c:pt>
              <c:pt idx="82">
                <c:v>2.0499999999999998</c:v>
              </c:pt>
              <c:pt idx="83">
                <c:v>2.0749999999999997</c:v>
              </c:pt>
              <c:pt idx="84">
                <c:v>2.1</c:v>
              </c:pt>
              <c:pt idx="85">
                <c:v>2.125</c:v>
              </c:pt>
              <c:pt idx="86">
                <c:v>2.15</c:v>
              </c:pt>
              <c:pt idx="87">
                <c:v>2.1749999999999998</c:v>
              </c:pt>
              <c:pt idx="88">
                <c:v>2.2000000000000002</c:v>
              </c:pt>
              <c:pt idx="89">
                <c:v>2.2250000000000001</c:v>
              </c:pt>
              <c:pt idx="90">
                <c:v>2.25</c:v>
              </c:pt>
              <c:pt idx="91">
                <c:v>2.2749999999999999</c:v>
              </c:pt>
              <c:pt idx="92">
                <c:v>2.3000000000000003</c:v>
              </c:pt>
              <c:pt idx="93">
                <c:v>2.3250000000000002</c:v>
              </c:pt>
              <c:pt idx="94">
                <c:v>2.3499999999999996</c:v>
              </c:pt>
              <c:pt idx="95">
                <c:v>2.375</c:v>
              </c:pt>
              <c:pt idx="96">
                <c:v>2.4</c:v>
              </c:pt>
              <c:pt idx="97">
                <c:v>2.4249999999999998</c:v>
              </c:pt>
              <c:pt idx="98">
                <c:v>2.4500000000000002</c:v>
              </c:pt>
              <c:pt idx="99">
                <c:v>2.4750000000000001</c:v>
              </c:pt>
              <c:pt idx="100">
                <c:v>2.5</c:v>
              </c:pt>
              <c:pt idx="101">
                <c:v>2.5249999999999999</c:v>
              </c:pt>
              <c:pt idx="102">
                <c:v>2.5499999999999998</c:v>
              </c:pt>
              <c:pt idx="103">
                <c:v>2.5750000000000002</c:v>
              </c:pt>
              <c:pt idx="104">
                <c:v>2.6</c:v>
              </c:pt>
              <c:pt idx="105">
                <c:v>2.625</c:v>
              </c:pt>
              <c:pt idx="106">
                <c:v>2.6500000000000004</c:v>
              </c:pt>
              <c:pt idx="107">
                <c:v>2.6750000000000003</c:v>
              </c:pt>
              <c:pt idx="108">
                <c:v>2.7</c:v>
              </c:pt>
              <c:pt idx="109">
                <c:v>2.7250000000000001</c:v>
              </c:pt>
              <c:pt idx="110">
                <c:v>2.75</c:v>
              </c:pt>
              <c:pt idx="111">
                <c:v>2.7750000000000004</c:v>
              </c:pt>
              <c:pt idx="112">
                <c:v>2.8000000000000003</c:v>
              </c:pt>
              <c:pt idx="113">
                <c:v>2.8249999999999997</c:v>
              </c:pt>
              <c:pt idx="114">
                <c:v>2.8499999999999996</c:v>
              </c:pt>
              <c:pt idx="115">
                <c:v>2.875</c:v>
              </c:pt>
              <c:pt idx="116">
                <c:v>2.9</c:v>
              </c:pt>
              <c:pt idx="117">
                <c:v>2.9249999999999998</c:v>
              </c:pt>
              <c:pt idx="118">
                <c:v>2.9499999999999997</c:v>
              </c:pt>
              <c:pt idx="119">
                <c:v>2.9749999999999996</c:v>
              </c:pt>
              <c:pt idx="120">
                <c:v>3</c:v>
              </c:pt>
              <c:pt idx="121">
                <c:v>3.0249999999999999</c:v>
              </c:pt>
              <c:pt idx="122">
                <c:v>3.05</c:v>
              </c:pt>
              <c:pt idx="123">
                <c:v>3.0750000000000002</c:v>
              </c:pt>
              <c:pt idx="124">
                <c:v>3.1</c:v>
              </c:pt>
              <c:pt idx="125">
                <c:v>3.125</c:v>
              </c:pt>
              <c:pt idx="126">
                <c:v>3.15</c:v>
              </c:pt>
              <c:pt idx="127">
                <c:v>3.1749999999999998</c:v>
              </c:pt>
              <c:pt idx="128">
                <c:v>3.2</c:v>
              </c:pt>
              <c:pt idx="129">
                <c:v>3.2250000000000001</c:v>
              </c:pt>
              <c:pt idx="130">
                <c:v>3.25</c:v>
              </c:pt>
              <c:pt idx="131">
                <c:v>3.2750000000000004</c:v>
              </c:pt>
              <c:pt idx="132">
                <c:v>3.3000000000000003</c:v>
              </c:pt>
              <c:pt idx="133">
                <c:v>3.3250000000000002</c:v>
              </c:pt>
              <c:pt idx="134">
                <c:v>3.35</c:v>
              </c:pt>
              <c:pt idx="135">
                <c:v>3.375</c:v>
              </c:pt>
              <c:pt idx="136">
                <c:v>3.4000000000000004</c:v>
              </c:pt>
              <c:pt idx="137">
                <c:v>3.4250000000000003</c:v>
              </c:pt>
              <c:pt idx="138">
                <c:v>3.4499999999999997</c:v>
              </c:pt>
              <c:pt idx="139">
                <c:v>3.4749999999999996</c:v>
              </c:pt>
              <c:pt idx="140">
                <c:v>3.5</c:v>
              </c:pt>
              <c:pt idx="141">
                <c:v>3.5249999999999999</c:v>
              </c:pt>
              <c:pt idx="142">
                <c:v>3.55</c:v>
              </c:pt>
              <c:pt idx="143">
                <c:v>3.5749999999999997</c:v>
              </c:pt>
              <c:pt idx="144">
                <c:v>3.5999999999999996</c:v>
              </c:pt>
              <c:pt idx="145">
                <c:v>3.625</c:v>
              </c:pt>
              <c:pt idx="146">
                <c:v>3.65</c:v>
              </c:pt>
              <c:pt idx="147">
                <c:v>3.6749999999999998</c:v>
              </c:pt>
              <c:pt idx="148">
                <c:v>3.7</c:v>
              </c:pt>
              <c:pt idx="149">
                <c:v>3.7250000000000001</c:v>
              </c:pt>
              <c:pt idx="150">
                <c:v>3.75</c:v>
              </c:pt>
              <c:pt idx="151">
                <c:v>3.7749999999999999</c:v>
              </c:pt>
              <c:pt idx="152">
                <c:v>3.8</c:v>
              </c:pt>
              <c:pt idx="153">
                <c:v>3.8250000000000002</c:v>
              </c:pt>
              <c:pt idx="154">
                <c:v>3.85</c:v>
              </c:pt>
              <c:pt idx="155">
                <c:v>3.875</c:v>
              </c:pt>
              <c:pt idx="156">
                <c:v>3.9000000000000004</c:v>
              </c:pt>
              <c:pt idx="157">
                <c:v>3.9250000000000003</c:v>
              </c:pt>
              <c:pt idx="158">
                <c:v>3.95</c:v>
              </c:pt>
              <c:pt idx="159">
                <c:v>3.9750000000000001</c:v>
              </c:pt>
              <c:pt idx="160">
                <c:v>4</c:v>
              </c:pt>
              <c:pt idx="161">
                <c:v>4.0250000000000004</c:v>
              </c:pt>
              <c:pt idx="162">
                <c:v>4.0500000000000007</c:v>
              </c:pt>
              <c:pt idx="163">
                <c:v>4.0749999999999993</c:v>
              </c:pt>
              <c:pt idx="164">
                <c:v>4.0999999999999996</c:v>
              </c:pt>
              <c:pt idx="165">
                <c:v>4.125</c:v>
              </c:pt>
              <c:pt idx="166">
                <c:v>4.1499999999999995</c:v>
              </c:pt>
              <c:pt idx="167">
                <c:v>4.1749999999999998</c:v>
              </c:pt>
              <c:pt idx="168">
                <c:v>4.2</c:v>
              </c:pt>
              <c:pt idx="169">
                <c:v>4.2249999999999996</c:v>
              </c:pt>
              <c:pt idx="170">
                <c:v>4.25</c:v>
              </c:pt>
              <c:pt idx="171">
                <c:v>4.2750000000000004</c:v>
              </c:pt>
              <c:pt idx="172">
                <c:v>4.3</c:v>
              </c:pt>
              <c:pt idx="173">
                <c:v>4.3250000000000002</c:v>
              </c:pt>
              <c:pt idx="174">
                <c:v>4.3499999999999996</c:v>
              </c:pt>
              <c:pt idx="175">
                <c:v>4.375</c:v>
              </c:pt>
              <c:pt idx="176">
                <c:v>4.4000000000000004</c:v>
              </c:pt>
              <c:pt idx="177">
                <c:v>4.4249999999999998</c:v>
              </c:pt>
              <c:pt idx="178">
                <c:v>4.45</c:v>
              </c:pt>
              <c:pt idx="179">
                <c:v>4.4749999999999996</c:v>
              </c:pt>
              <c:pt idx="180">
                <c:v>4.5</c:v>
              </c:pt>
              <c:pt idx="181">
                <c:v>4.5250000000000004</c:v>
              </c:pt>
              <c:pt idx="182">
                <c:v>4.55</c:v>
              </c:pt>
              <c:pt idx="183">
                <c:v>4.5750000000000002</c:v>
              </c:pt>
              <c:pt idx="184">
                <c:v>4.6000000000000005</c:v>
              </c:pt>
              <c:pt idx="185">
                <c:v>4.625</c:v>
              </c:pt>
              <c:pt idx="186">
                <c:v>4.6500000000000004</c:v>
              </c:pt>
              <c:pt idx="187">
                <c:v>4.6750000000000007</c:v>
              </c:pt>
              <c:pt idx="188">
                <c:v>4.6999999999999993</c:v>
              </c:pt>
              <c:pt idx="189">
                <c:v>4.7249999999999996</c:v>
              </c:pt>
              <c:pt idx="190">
                <c:v>4.75</c:v>
              </c:pt>
              <c:pt idx="191">
                <c:v>4.7749999999999995</c:v>
              </c:pt>
              <c:pt idx="192">
                <c:v>4.8</c:v>
              </c:pt>
              <c:pt idx="193">
                <c:v>4.8250000000000002</c:v>
              </c:pt>
              <c:pt idx="194">
                <c:v>4.8499999999999996</c:v>
              </c:pt>
              <c:pt idx="195">
                <c:v>4.875</c:v>
              </c:pt>
              <c:pt idx="196">
                <c:v>4.9000000000000004</c:v>
              </c:pt>
              <c:pt idx="197">
                <c:v>4.9249999999999998</c:v>
              </c:pt>
              <c:pt idx="198">
                <c:v>4.95</c:v>
              </c:pt>
              <c:pt idx="199">
                <c:v>4.9749999999999996</c:v>
              </c:pt>
              <c:pt idx="200">
                <c:v>5</c:v>
              </c:pt>
            </c:numLit>
          </c:cat>
          <c:val>
            <c:numRef>
              <c:f>'Calculations - Single'!$BP$5:$BP$105</c:f>
              <c:numCache>
                <c:formatCode>0.0</c:formatCode>
                <c:ptCount val="101"/>
                <c:pt idx="0">
                  <c:v>3.4999999999999998E-7</c:v>
                </c:pt>
                <c:pt idx="1">
                  <c:v>1.05</c:v>
                </c:pt>
                <c:pt idx="2">
                  <c:v>2.1</c:v>
                </c:pt>
                <c:pt idx="3">
                  <c:v>3.1499999999999995</c:v>
                </c:pt>
                <c:pt idx="4">
                  <c:v>4.2</c:v>
                </c:pt>
                <c:pt idx="5">
                  <c:v>5.2499999999999991</c:v>
                </c:pt>
                <c:pt idx="6">
                  <c:v>6.2999999999999989</c:v>
                </c:pt>
                <c:pt idx="7">
                  <c:v>7.35</c:v>
                </c:pt>
                <c:pt idx="8">
                  <c:v>8.4</c:v>
                </c:pt>
                <c:pt idx="9">
                  <c:v>9.4499999999999993</c:v>
                </c:pt>
                <c:pt idx="10">
                  <c:v>10.499999999999998</c:v>
                </c:pt>
                <c:pt idx="11">
                  <c:v>11.549999999999999</c:v>
                </c:pt>
                <c:pt idx="12">
                  <c:v>12.599999999999998</c:v>
                </c:pt>
                <c:pt idx="13">
                  <c:v>13.649999999999999</c:v>
                </c:pt>
                <c:pt idx="14">
                  <c:v>14.7</c:v>
                </c:pt>
                <c:pt idx="15">
                  <c:v>15.75</c:v>
                </c:pt>
                <c:pt idx="16">
                  <c:v>16.8</c:v>
                </c:pt>
                <c:pt idx="17">
                  <c:v>17.850000000000001</c:v>
                </c:pt>
                <c:pt idx="18">
                  <c:v>18.899999999999999</c:v>
                </c:pt>
                <c:pt idx="19">
                  <c:v>19.949999999999996</c:v>
                </c:pt>
                <c:pt idx="20">
                  <c:v>20.999999999999996</c:v>
                </c:pt>
                <c:pt idx="21">
                  <c:v>22.05</c:v>
                </c:pt>
                <c:pt idx="22">
                  <c:v>23.099999999999998</c:v>
                </c:pt>
                <c:pt idx="23">
                  <c:v>24.150000000000002</c:v>
                </c:pt>
                <c:pt idx="24">
                  <c:v>25.199999999999996</c:v>
                </c:pt>
                <c:pt idx="25">
                  <c:v>26.25</c:v>
                </c:pt>
                <c:pt idx="26">
                  <c:v>27.299999999999997</c:v>
                </c:pt>
                <c:pt idx="27">
                  <c:v>28.35</c:v>
                </c:pt>
                <c:pt idx="28">
                  <c:v>29.4</c:v>
                </c:pt>
                <c:pt idx="29">
                  <c:v>30.449999999999996</c:v>
                </c:pt>
                <c:pt idx="30">
                  <c:v>31.5</c:v>
                </c:pt>
                <c:pt idx="31">
                  <c:v>32.549999999999997</c:v>
                </c:pt>
                <c:pt idx="32">
                  <c:v>33.6</c:v>
                </c:pt>
                <c:pt idx="33">
                  <c:v>34.65</c:v>
                </c:pt>
                <c:pt idx="34">
                  <c:v>35.700000000000003</c:v>
                </c:pt>
                <c:pt idx="35">
                  <c:v>36.75</c:v>
                </c:pt>
                <c:pt idx="36">
                  <c:v>37.799999999999997</c:v>
                </c:pt>
                <c:pt idx="37">
                  <c:v>38.849999999999994</c:v>
                </c:pt>
                <c:pt idx="38">
                  <c:v>39.899999999999991</c:v>
                </c:pt>
                <c:pt idx="39">
                  <c:v>40.949999999999996</c:v>
                </c:pt>
                <c:pt idx="40">
                  <c:v>41.999999999999993</c:v>
                </c:pt>
                <c:pt idx="41">
                  <c:v>43.04999999999999</c:v>
                </c:pt>
                <c:pt idx="42">
                  <c:v>44.1</c:v>
                </c:pt>
                <c:pt idx="43">
                  <c:v>45.15</c:v>
                </c:pt>
                <c:pt idx="44">
                  <c:v>46.199999999999996</c:v>
                </c:pt>
                <c:pt idx="45">
                  <c:v>47.25</c:v>
                </c:pt>
                <c:pt idx="46">
                  <c:v>48.300000000000004</c:v>
                </c:pt>
                <c:pt idx="47">
                  <c:v>49.349999999999994</c:v>
                </c:pt>
                <c:pt idx="48">
                  <c:v>50.399999999999991</c:v>
                </c:pt>
                <c:pt idx="49">
                  <c:v>51.449999999999996</c:v>
                </c:pt>
                <c:pt idx="50">
                  <c:v>52.5</c:v>
                </c:pt>
                <c:pt idx="51">
                  <c:v>53.54999999999999</c:v>
                </c:pt>
                <c:pt idx="52">
                  <c:v>54.599999999999994</c:v>
                </c:pt>
                <c:pt idx="53">
                  <c:v>55.65</c:v>
                </c:pt>
                <c:pt idx="54">
                  <c:v>56.7</c:v>
                </c:pt>
                <c:pt idx="55">
                  <c:v>57.749999999999993</c:v>
                </c:pt>
                <c:pt idx="56">
                  <c:v>58.8</c:v>
                </c:pt>
                <c:pt idx="57">
                  <c:v>59.849999999999994</c:v>
                </c:pt>
                <c:pt idx="58">
                  <c:v>60.899999999999991</c:v>
                </c:pt>
                <c:pt idx="59">
                  <c:v>61.949999999999989</c:v>
                </c:pt>
                <c:pt idx="60">
                  <c:v>63</c:v>
                </c:pt>
                <c:pt idx="61">
                  <c:v>64.05</c:v>
                </c:pt>
                <c:pt idx="62">
                  <c:v>65.099999999999994</c:v>
                </c:pt>
                <c:pt idx="63">
                  <c:v>66.150000000000006</c:v>
                </c:pt>
                <c:pt idx="64">
                  <c:v>67.2</c:v>
                </c:pt>
                <c:pt idx="65">
                  <c:v>68.249999999999986</c:v>
                </c:pt>
                <c:pt idx="66">
                  <c:v>69.3</c:v>
                </c:pt>
                <c:pt idx="67">
                  <c:v>70.349999999999994</c:v>
                </c:pt>
                <c:pt idx="68">
                  <c:v>71.400000000000006</c:v>
                </c:pt>
                <c:pt idx="69">
                  <c:v>72.449999999999989</c:v>
                </c:pt>
                <c:pt idx="70">
                  <c:v>73.5</c:v>
                </c:pt>
                <c:pt idx="71">
                  <c:v>74.55</c:v>
                </c:pt>
                <c:pt idx="72">
                  <c:v>75.599999999999994</c:v>
                </c:pt>
                <c:pt idx="73">
                  <c:v>76.649999999999991</c:v>
                </c:pt>
                <c:pt idx="74">
                  <c:v>77.699999999999989</c:v>
                </c:pt>
                <c:pt idx="75">
                  <c:v>78.749999999999986</c:v>
                </c:pt>
                <c:pt idx="76">
                  <c:v>79.799999999999983</c:v>
                </c:pt>
                <c:pt idx="77">
                  <c:v>80.849999999999994</c:v>
                </c:pt>
                <c:pt idx="78">
                  <c:v>81.899999999999991</c:v>
                </c:pt>
                <c:pt idx="79">
                  <c:v>82.95</c:v>
                </c:pt>
                <c:pt idx="80">
                  <c:v>83.999999999999986</c:v>
                </c:pt>
                <c:pt idx="81">
                  <c:v>85.049999999999983</c:v>
                </c:pt>
                <c:pt idx="82">
                  <c:v>86.09999999999998</c:v>
                </c:pt>
                <c:pt idx="83">
                  <c:v>87.149999999999991</c:v>
                </c:pt>
                <c:pt idx="84">
                  <c:v>88.2</c:v>
                </c:pt>
                <c:pt idx="85">
                  <c:v>89.25</c:v>
                </c:pt>
                <c:pt idx="86">
                  <c:v>90.3</c:v>
                </c:pt>
                <c:pt idx="87">
                  <c:v>91.35</c:v>
                </c:pt>
                <c:pt idx="88">
                  <c:v>92.399999999999991</c:v>
                </c:pt>
                <c:pt idx="89">
                  <c:v>93.45</c:v>
                </c:pt>
                <c:pt idx="90">
                  <c:v>94.5</c:v>
                </c:pt>
                <c:pt idx="91">
                  <c:v>95.55</c:v>
                </c:pt>
                <c:pt idx="92">
                  <c:v>96.600000000000009</c:v>
                </c:pt>
                <c:pt idx="93">
                  <c:v>97.65</c:v>
                </c:pt>
                <c:pt idx="94">
                  <c:v>98.699999999999989</c:v>
                </c:pt>
                <c:pt idx="95">
                  <c:v>99.749999999999986</c:v>
                </c:pt>
                <c:pt idx="96">
                  <c:v>100.79999999999998</c:v>
                </c:pt>
                <c:pt idx="97">
                  <c:v>101.84999999999998</c:v>
                </c:pt>
                <c:pt idx="98">
                  <c:v>102.89999999999999</c:v>
                </c:pt>
                <c:pt idx="99">
                  <c:v>103.94999999999999</c:v>
                </c:pt>
                <c:pt idx="100">
                  <c:v>105</c:v>
                </c:pt>
              </c:numCache>
            </c:numRef>
          </c:val>
          <c:smooth val="0"/>
        </c:ser>
        <c:ser>
          <c:idx val="3"/>
          <c:order val="2"/>
          <c:tx>
            <c:strRef>
              <c:f>'Calculations - Single'!$BG$3</c:f>
              <c:strCache>
                <c:ptCount val="1"/>
                <c:pt idx="0">
                  <c:v>IC Loss</c:v>
                </c:pt>
              </c:strCache>
            </c:strRef>
          </c:tx>
          <c:spPr>
            <a:ln w="38100">
              <a:solidFill>
                <a:srgbClr val="800080"/>
              </a:solidFill>
              <a:prstDash val="dash"/>
            </a:ln>
          </c:spPr>
          <c:marker>
            <c:symbol val="none"/>
          </c:marker>
          <c:cat>
            <c:numLit>
              <c:formatCode>General</c:formatCode>
              <c:ptCount val="201"/>
              <c:pt idx="0">
                <c:v>0</c:v>
              </c:pt>
              <c:pt idx="1">
                <c:v>2.5000000000000001E-2</c:v>
              </c:pt>
              <c:pt idx="2">
                <c:v>0.05</c:v>
              </c:pt>
              <c:pt idx="3">
                <c:v>7.4999999999999997E-2</c:v>
              </c:pt>
              <c:pt idx="4">
                <c:v>0.1</c:v>
              </c:pt>
              <c:pt idx="5">
                <c:v>0.125</c:v>
              </c:pt>
              <c:pt idx="6">
                <c:v>0.15</c:v>
              </c:pt>
              <c:pt idx="7">
                <c:v>0.17500000000000002</c:v>
              </c:pt>
              <c:pt idx="8">
                <c:v>0.2</c:v>
              </c:pt>
              <c:pt idx="9">
                <c:v>0.22499999999999998</c:v>
              </c:pt>
              <c:pt idx="10">
                <c:v>0.25</c:v>
              </c:pt>
              <c:pt idx="11">
                <c:v>0.27500000000000002</c:v>
              </c:pt>
              <c:pt idx="12">
                <c:v>0.3</c:v>
              </c:pt>
              <c:pt idx="13">
                <c:v>0.32500000000000001</c:v>
              </c:pt>
              <c:pt idx="14">
                <c:v>0.35000000000000003</c:v>
              </c:pt>
              <c:pt idx="15">
                <c:v>0.375</c:v>
              </c:pt>
              <c:pt idx="16">
                <c:v>0.4</c:v>
              </c:pt>
              <c:pt idx="17">
                <c:v>0.42500000000000004</c:v>
              </c:pt>
              <c:pt idx="18">
                <c:v>0.44999999999999996</c:v>
              </c:pt>
              <c:pt idx="19">
                <c:v>0.47499999999999998</c:v>
              </c:pt>
              <c:pt idx="20">
                <c:v>0.5</c:v>
              </c:pt>
              <c:pt idx="21">
                <c:v>0.52500000000000002</c:v>
              </c:pt>
              <c:pt idx="22">
                <c:v>0.55000000000000004</c:v>
              </c:pt>
              <c:pt idx="23">
                <c:v>0.57500000000000007</c:v>
              </c:pt>
              <c:pt idx="24">
                <c:v>0.6</c:v>
              </c:pt>
              <c:pt idx="25">
                <c:v>0.625</c:v>
              </c:pt>
              <c:pt idx="26">
                <c:v>0.65</c:v>
              </c:pt>
              <c:pt idx="27">
                <c:v>0.67500000000000004</c:v>
              </c:pt>
              <c:pt idx="28">
                <c:v>0.70000000000000007</c:v>
              </c:pt>
              <c:pt idx="29">
                <c:v>0.72499999999999998</c:v>
              </c:pt>
              <c:pt idx="30">
                <c:v>0.75</c:v>
              </c:pt>
              <c:pt idx="31">
                <c:v>0.77500000000000002</c:v>
              </c:pt>
              <c:pt idx="32">
                <c:v>0.8</c:v>
              </c:pt>
              <c:pt idx="33">
                <c:v>0.82500000000000007</c:v>
              </c:pt>
              <c:pt idx="34">
                <c:v>0.85000000000000009</c:v>
              </c:pt>
              <c:pt idx="35">
                <c:v>0.875</c:v>
              </c:pt>
              <c:pt idx="36">
                <c:v>0.89999999999999991</c:v>
              </c:pt>
              <c:pt idx="37">
                <c:v>0.92500000000000004</c:v>
              </c:pt>
              <c:pt idx="38">
                <c:v>0.95</c:v>
              </c:pt>
              <c:pt idx="39">
                <c:v>0.97500000000000009</c:v>
              </c:pt>
              <c:pt idx="40">
                <c:v>1</c:v>
              </c:pt>
              <c:pt idx="41">
                <c:v>1.0249999999999999</c:v>
              </c:pt>
              <c:pt idx="42">
                <c:v>1.05</c:v>
              </c:pt>
              <c:pt idx="43">
                <c:v>1.075</c:v>
              </c:pt>
              <c:pt idx="44">
                <c:v>1.1000000000000001</c:v>
              </c:pt>
              <c:pt idx="45">
                <c:v>1.125</c:v>
              </c:pt>
              <c:pt idx="46">
                <c:v>1.1500000000000001</c:v>
              </c:pt>
              <c:pt idx="47">
                <c:v>1.1749999999999998</c:v>
              </c:pt>
              <c:pt idx="48">
                <c:v>1.2</c:v>
              </c:pt>
              <c:pt idx="49">
                <c:v>1.2250000000000001</c:v>
              </c:pt>
              <c:pt idx="50">
                <c:v>1.25</c:v>
              </c:pt>
              <c:pt idx="51">
                <c:v>1.2749999999999999</c:v>
              </c:pt>
              <c:pt idx="52">
                <c:v>1.3</c:v>
              </c:pt>
              <c:pt idx="53">
                <c:v>1.3250000000000002</c:v>
              </c:pt>
              <c:pt idx="54">
                <c:v>1.35</c:v>
              </c:pt>
              <c:pt idx="55">
                <c:v>1.375</c:v>
              </c:pt>
              <c:pt idx="56">
                <c:v>1.4000000000000001</c:v>
              </c:pt>
              <c:pt idx="57">
                <c:v>1.4249999999999998</c:v>
              </c:pt>
              <c:pt idx="58">
                <c:v>1.45</c:v>
              </c:pt>
              <c:pt idx="59">
                <c:v>1.4749999999999999</c:v>
              </c:pt>
              <c:pt idx="60">
                <c:v>1.5</c:v>
              </c:pt>
              <c:pt idx="61">
                <c:v>1.5249999999999999</c:v>
              </c:pt>
              <c:pt idx="62">
                <c:v>1.55</c:v>
              </c:pt>
              <c:pt idx="63">
                <c:v>1.575</c:v>
              </c:pt>
              <c:pt idx="64">
                <c:v>1.6</c:v>
              </c:pt>
              <c:pt idx="65">
                <c:v>1.625</c:v>
              </c:pt>
              <c:pt idx="66">
                <c:v>1.6500000000000001</c:v>
              </c:pt>
              <c:pt idx="67">
                <c:v>1.675</c:v>
              </c:pt>
              <c:pt idx="68">
                <c:v>1.7000000000000002</c:v>
              </c:pt>
              <c:pt idx="69">
                <c:v>1.7249999999999999</c:v>
              </c:pt>
              <c:pt idx="70">
                <c:v>1.75</c:v>
              </c:pt>
              <c:pt idx="71">
                <c:v>1.7749999999999999</c:v>
              </c:pt>
              <c:pt idx="72">
                <c:v>1.7999999999999998</c:v>
              </c:pt>
              <c:pt idx="73">
                <c:v>1.825</c:v>
              </c:pt>
              <c:pt idx="74">
                <c:v>1.85</c:v>
              </c:pt>
              <c:pt idx="75">
                <c:v>1.875</c:v>
              </c:pt>
              <c:pt idx="76">
                <c:v>1.9</c:v>
              </c:pt>
              <c:pt idx="77">
                <c:v>1.925</c:v>
              </c:pt>
              <c:pt idx="78">
                <c:v>1.9500000000000002</c:v>
              </c:pt>
              <c:pt idx="79">
                <c:v>1.9750000000000001</c:v>
              </c:pt>
              <c:pt idx="80">
                <c:v>2</c:v>
              </c:pt>
              <c:pt idx="81">
                <c:v>2.0250000000000004</c:v>
              </c:pt>
              <c:pt idx="82">
                <c:v>2.0499999999999998</c:v>
              </c:pt>
              <c:pt idx="83">
                <c:v>2.0749999999999997</c:v>
              </c:pt>
              <c:pt idx="84">
                <c:v>2.1</c:v>
              </c:pt>
              <c:pt idx="85">
                <c:v>2.125</c:v>
              </c:pt>
              <c:pt idx="86">
                <c:v>2.15</c:v>
              </c:pt>
              <c:pt idx="87">
                <c:v>2.1749999999999998</c:v>
              </c:pt>
              <c:pt idx="88">
                <c:v>2.2000000000000002</c:v>
              </c:pt>
              <c:pt idx="89">
                <c:v>2.2250000000000001</c:v>
              </c:pt>
              <c:pt idx="90">
                <c:v>2.25</c:v>
              </c:pt>
              <c:pt idx="91">
                <c:v>2.2749999999999999</c:v>
              </c:pt>
              <c:pt idx="92">
                <c:v>2.3000000000000003</c:v>
              </c:pt>
              <c:pt idx="93">
                <c:v>2.3250000000000002</c:v>
              </c:pt>
              <c:pt idx="94">
                <c:v>2.3499999999999996</c:v>
              </c:pt>
              <c:pt idx="95">
                <c:v>2.375</c:v>
              </c:pt>
              <c:pt idx="96">
                <c:v>2.4</c:v>
              </c:pt>
              <c:pt idx="97">
                <c:v>2.4249999999999998</c:v>
              </c:pt>
              <c:pt idx="98">
                <c:v>2.4500000000000002</c:v>
              </c:pt>
              <c:pt idx="99">
                <c:v>2.4750000000000001</c:v>
              </c:pt>
              <c:pt idx="100">
                <c:v>2.5</c:v>
              </c:pt>
              <c:pt idx="101">
                <c:v>2.5249999999999999</c:v>
              </c:pt>
              <c:pt idx="102">
                <c:v>2.5499999999999998</c:v>
              </c:pt>
              <c:pt idx="103">
                <c:v>2.5750000000000002</c:v>
              </c:pt>
              <c:pt idx="104">
                <c:v>2.6</c:v>
              </c:pt>
              <c:pt idx="105">
                <c:v>2.625</c:v>
              </c:pt>
              <c:pt idx="106">
                <c:v>2.6500000000000004</c:v>
              </c:pt>
              <c:pt idx="107">
                <c:v>2.6750000000000003</c:v>
              </c:pt>
              <c:pt idx="108">
                <c:v>2.7</c:v>
              </c:pt>
              <c:pt idx="109">
                <c:v>2.7250000000000001</c:v>
              </c:pt>
              <c:pt idx="110">
                <c:v>2.75</c:v>
              </c:pt>
              <c:pt idx="111">
                <c:v>2.7750000000000004</c:v>
              </c:pt>
              <c:pt idx="112">
                <c:v>2.8000000000000003</c:v>
              </c:pt>
              <c:pt idx="113">
                <c:v>2.8249999999999997</c:v>
              </c:pt>
              <c:pt idx="114">
                <c:v>2.8499999999999996</c:v>
              </c:pt>
              <c:pt idx="115">
                <c:v>2.875</c:v>
              </c:pt>
              <c:pt idx="116">
                <c:v>2.9</c:v>
              </c:pt>
              <c:pt idx="117">
                <c:v>2.9249999999999998</c:v>
              </c:pt>
              <c:pt idx="118">
                <c:v>2.9499999999999997</c:v>
              </c:pt>
              <c:pt idx="119">
                <c:v>2.9749999999999996</c:v>
              </c:pt>
              <c:pt idx="120">
                <c:v>3</c:v>
              </c:pt>
              <c:pt idx="121">
                <c:v>3.0249999999999999</c:v>
              </c:pt>
              <c:pt idx="122">
                <c:v>3.05</c:v>
              </c:pt>
              <c:pt idx="123">
                <c:v>3.0750000000000002</c:v>
              </c:pt>
              <c:pt idx="124">
                <c:v>3.1</c:v>
              </c:pt>
              <c:pt idx="125">
                <c:v>3.125</c:v>
              </c:pt>
              <c:pt idx="126">
                <c:v>3.15</c:v>
              </c:pt>
              <c:pt idx="127">
                <c:v>3.1749999999999998</c:v>
              </c:pt>
              <c:pt idx="128">
                <c:v>3.2</c:v>
              </c:pt>
              <c:pt idx="129">
                <c:v>3.2250000000000001</c:v>
              </c:pt>
              <c:pt idx="130">
                <c:v>3.25</c:v>
              </c:pt>
              <c:pt idx="131">
                <c:v>3.2750000000000004</c:v>
              </c:pt>
              <c:pt idx="132">
                <c:v>3.3000000000000003</c:v>
              </c:pt>
              <c:pt idx="133">
                <c:v>3.3250000000000002</c:v>
              </c:pt>
              <c:pt idx="134">
                <c:v>3.35</c:v>
              </c:pt>
              <c:pt idx="135">
                <c:v>3.375</c:v>
              </c:pt>
              <c:pt idx="136">
                <c:v>3.4000000000000004</c:v>
              </c:pt>
              <c:pt idx="137">
                <c:v>3.4250000000000003</c:v>
              </c:pt>
              <c:pt idx="138">
                <c:v>3.4499999999999997</c:v>
              </c:pt>
              <c:pt idx="139">
                <c:v>3.4749999999999996</c:v>
              </c:pt>
              <c:pt idx="140">
                <c:v>3.5</c:v>
              </c:pt>
              <c:pt idx="141">
                <c:v>3.5249999999999999</c:v>
              </c:pt>
              <c:pt idx="142">
                <c:v>3.55</c:v>
              </c:pt>
              <c:pt idx="143">
                <c:v>3.5749999999999997</c:v>
              </c:pt>
              <c:pt idx="144">
                <c:v>3.5999999999999996</c:v>
              </c:pt>
              <c:pt idx="145">
                <c:v>3.625</c:v>
              </c:pt>
              <c:pt idx="146">
                <c:v>3.65</c:v>
              </c:pt>
              <c:pt idx="147">
                <c:v>3.6749999999999998</c:v>
              </c:pt>
              <c:pt idx="148">
                <c:v>3.7</c:v>
              </c:pt>
              <c:pt idx="149">
                <c:v>3.7250000000000001</c:v>
              </c:pt>
              <c:pt idx="150">
                <c:v>3.75</c:v>
              </c:pt>
              <c:pt idx="151">
                <c:v>3.7749999999999999</c:v>
              </c:pt>
              <c:pt idx="152">
                <c:v>3.8</c:v>
              </c:pt>
              <c:pt idx="153">
                <c:v>3.8250000000000002</c:v>
              </c:pt>
              <c:pt idx="154">
                <c:v>3.85</c:v>
              </c:pt>
              <c:pt idx="155">
                <c:v>3.875</c:v>
              </c:pt>
              <c:pt idx="156">
                <c:v>3.9000000000000004</c:v>
              </c:pt>
              <c:pt idx="157">
                <c:v>3.9250000000000003</c:v>
              </c:pt>
              <c:pt idx="158">
                <c:v>3.95</c:v>
              </c:pt>
              <c:pt idx="159">
                <c:v>3.9750000000000001</c:v>
              </c:pt>
              <c:pt idx="160">
                <c:v>4</c:v>
              </c:pt>
              <c:pt idx="161">
                <c:v>4.0250000000000004</c:v>
              </c:pt>
              <c:pt idx="162">
                <c:v>4.0500000000000007</c:v>
              </c:pt>
              <c:pt idx="163">
                <c:v>4.0749999999999993</c:v>
              </c:pt>
              <c:pt idx="164">
                <c:v>4.0999999999999996</c:v>
              </c:pt>
              <c:pt idx="165">
                <c:v>4.125</c:v>
              </c:pt>
              <c:pt idx="166">
                <c:v>4.1499999999999995</c:v>
              </c:pt>
              <c:pt idx="167">
                <c:v>4.1749999999999998</c:v>
              </c:pt>
              <c:pt idx="168">
                <c:v>4.2</c:v>
              </c:pt>
              <c:pt idx="169">
                <c:v>4.2249999999999996</c:v>
              </c:pt>
              <c:pt idx="170">
                <c:v>4.25</c:v>
              </c:pt>
              <c:pt idx="171">
                <c:v>4.2750000000000004</c:v>
              </c:pt>
              <c:pt idx="172">
                <c:v>4.3</c:v>
              </c:pt>
              <c:pt idx="173">
                <c:v>4.3250000000000002</c:v>
              </c:pt>
              <c:pt idx="174">
                <c:v>4.3499999999999996</c:v>
              </c:pt>
              <c:pt idx="175">
                <c:v>4.375</c:v>
              </c:pt>
              <c:pt idx="176">
                <c:v>4.4000000000000004</c:v>
              </c:pt>
              <c:pt idx="177">
                <c:v>4.4249999999999998</c:v>
              </c:pt>
              <c:pt idx="178">
                <c:v>4.45</c:v>
              </c:pt>
              <c:pt idx="179">
                <c:v>4.4749999999999996</c:v>
              </c:pt>
              <c:pt idx="180">
                <c:v>4.5</c:v>
              </c:pt>
              <c:pt idx="181">
                <c:v>4.5250000000000004</c:v>
              </c:pt>
              <c:pt idx="182">
                <c:v>4.55</c:v>
              </c:pt>
              <c:pt idx="183">
                <c:v>4.5750000000000002</c:v>
              </c:pt>
              <c:pt idx="184">
                <c:v>4.6000000000000005</c:v>
              </c:pt>
              <c:pt idx="185">
                <c:v>4.625</c:v>
              </c:pt>
              <c:pt idx="186">
                <c:v>4.6500000000000004</c:v>
              </c:pt>
              <c:pt idx="187">
                <c:v>4.6750000000000007</c:v>
              </c:pt>
              <c:pt idx="188">
                <c:v>4.6999999999999993</c:v>
              </c:pt>
              <c:pt idx="189">
                <c:v>4.7249999999999996</c:v>
              </c:pt>
              <c:pt idx="190">
                <c:v>4.75</c:v>
              </c:pt>
              <c:pt idx="191">
                <c:v>4.7749999999999995</c:v>
              </c:pt>
              <c:pt idx="192">
                <c:v>4.8</c:v>
              </c:pt>
              <c:pt idx="193">
                <c:v>4.8250000000000002</c:v>
              </c:pt>
              <c:pt idx="194">
                <c:v>4.8499999999999996</c:v>
              </c:pt>
              <c:pt idx="195">
                <c:v>4.875</c:v>
              </c:pt>
              <c:pt idx="196">
                <c:v>4.9000000000000004</c:v>
              </c:pt>
              <c:pt idx="197">
                <c:v>4.9249999999999998</c:v>
              </c:pt>
              <c:pt idx="198">
                <c:v>4.95</c:v>
              </c:pt>
              <c:pt idx="199">
                <c:v>4.9749999999999996</c:v>
              </c:pt>
              <c:pt idx="200">
                <c:v>5</c:v>
              </c:pt>
            </c:numLit>
          </c:cat>
          <c:val>
            <c:numRef>
              <c:f>'Calculations - Single'!$BL$5:$BL$105</c:f>
              <c:numCache>
                <c:formatCode>0.0</c:formatCode>
                <c:ptCount val="101"/>
                <c:pt idx="0">
                  <c:v>4.9170695486111109</c:v>
                </c:pt>
                <c:pt idx="1">
                  <c:v>7.3887949969654185</c:v>
                </c:pt>
                <c:pt idx="2">
                  <c:v>11.297589993930837</c:v>
                </c:pt>
                <c:pt idx="3">
                  <c:v>15.206384990896252</c:v>
                </c:pt>
                <c:pt idx="4">
                  <c:v>19.115179987861673</c:v>
                </c:pt>
                <c:pt idx="5">
                  <c:v>23.023974984827088</c:v>
                </c:pt>
                <c:pt idx="6">
                  <c:v>26.932769981792504</c:v>
                </c:pt>
                <c:pt idx="7">
                  <c:v>30.841564978757926</c:v>
                </c:pt>
                <c:pt idx="8">
                  <c:v>34.750359975723342</c:v>
                </c:pt>
                <c:pt idx="9">
                  <c:v>38.659154972688761</c:v>
                </c:pt>
                <c:pt idx="10">
                  <c:v>42.567949969654173</c:v>
                </c:pt>
                <c:pt idx="11">
                  <c:v>46.476744966619599</c:v>
                </c:pt>
                <c:pt idx="12">
                  <c:v>51.017540797821624</c:v>
                </c:pt>
                <c:pt idx="13">
                  <c:v>56.051446669734538</c:v>
                </c:pt>
                <c:pt idx="14">
                  <c:v>57.621853755434799</c:v>
                </c:pt>
                <c:pt idx="15">
                  <c:v>59.170298955860183</c:v>
                </c:pt>
                <c:pt idx="16">
                  <c:v>60.700035748921316</c:v>
                </c:pt>
                <c:pt idx="17">
                  <c:v>62.213782531881606</c:v>
                </c:pt>
                <c:pt idx="18">
                  <c:v>63.713834355161495</c:v>
                </c:pt>
                <c:pt idx="19">
                  <c:v>65.202146635689971</c:v>
                </c:pt>
                <c:pt idx="20">
                  <c:v>66.680398950258606</c:v>
                </c:pt>
                <c:pt idx="21">
                  <c:v>68.150044385481564</c:v>
                </c:pt>
                <c:pt idx="22">
                  <c:v>69.612348230176053</c:v>
                </c:pt>
                <c:pt idx="23">
                  <c:v>71.068418679454794</c:v>
                </c:pt>
                <c:pt idx="24">
                  <c:v>72.519231466244463</c:v>
                </c:pt>
                <c:pt idx="25">
                  <c:v>73.965649817257784</c:v>
                </c:pt>
                <c:pt idx="26">
                  <c:v>75.408440767059304</c:v>
                </c:pt>
                <c:pt idx="27">
                  <c:v>76.848288605153172</c:v>
                </c:pt>
                <c:pt idx="28">
                  <c:v>78.28580604411097</c:v>
                </c:pt>
                <c:pt idx="29">
                  <c:v>79.721543559898649</c:v>
                </c:pt>
                <c:pt idx="30">
                  <c:v>81.155997254105657</c:v>
                </c:pt>
                <c:pt idx="31">
                  <c:v>82.589615511706612</c:v>
                </c:pt>
                <c:pt idx="32">
                  <c:v>84.02280467034285</c:v>
                </c:pt>
                <c:pt idx="33">
                  <c:v>83.502766881909977</c:v>
                </c:pt>
                <c:pt idx="34">
                  <c:v>82.507254499912179</c:v>
                </c:pt>
                <c:pt idx="35">
                  <c:v>81.569165012746268</c:v>
                </c:pt>
                <c:pt idx="36">
                  <c:v>85.279502900648296</c:v>
                </c:pt>
                <c:pt idx="37">
                  <c:v>85.86910787402546</c:v>
                </c:pt>
                <c:pt idx="38">
                  <c:v>86.51225762926596</c:v>
                </c:pt>
                <c:pt idx="39">
                  <c:v>87.207060580001524</c:v>
                </c:pt>
                <c:pt idx="40">
                  <c:v>87.951814298500892</c:v>
                </c:pt>
                <c:pt idx="41">
                  <c:v>88.744982447543023</c:v>
                </c:pt>
                <c:pt idx="42">
                  <c:v>89.585175007737561</c:v>
                </c:pt>
                <c:pt idx="43">
                  <c:v>90.471131263823423</c:v>
                </c:pt>
                <c:pt idx="44">
                  <c:v>91.401705111017804</c:v>
                </c:pt>
                <c:pt idx="45">
                  <c:v>92.375852320518661</c:v>
                </c:pt>
                <c:pt idx="46">
                  <c:v>93.392619466028336</c:v>
                </c:pt>
                <c:pt idx="47">
                  <c:v>94.451134263912934</c:v>
                </c:pt>
                <c:pt idx="48">
                  <c:v>95.550597120841388</c:v>
                </c:pt>
                <c:pt idx="49">
                  <c:v>96.690273716407546</c:v>
                </c:pt>
                <c:pt idx="50">
                  <c:v>97.869488475837727</c:v>
                </c:pt>
                <c:pt idx="51">
                  <c:v>99.087618810615112</c:v>
                </c:pt>
                <c:pt idx="52">
                  <c:v>100.34409002364715</c:v>
                </c:pt>
                <c:pt idx="53">
                  <c:v>101.63837079120685</c:v>
                </c:pt>
                <c:pt idx="54">
                  <c:v>102.96996914688025</c:v>
                </c:pt>
                <c:pt idx="55">
                  <c:v>104.33842890362905</c:v>
                </c:pt>
                <c:pt idx="56">
                  <c:v>105.74332645920329</c:v>
                </c:pt>
                <c:pt idx="57">
                  <c:v>107.18426793782676</c:v>
                </c:pt>
                <c:pt idx="58">
                  <c:v>108.66088662756982</c:v>
                </c:pt>
                <c:pt idx="59">
                  <c:v>110.17284067832874</c:v>
                </c:pt>
                <c:pt idx="60">
                  <c:v>111.71981103000643</c:v>
                </c:pt>
                <c:pt idx="61">
                  <c:v>113.30149954447967</c:v>
                </c:pt>
                <c:pt idx="62">
                  <c:v>114.91762731834264</c:v>
                </c:pt>
                <c:pt idx="63">
                  <c:v>116.56793315634232</c:v>
                </c:pt>
                <c:pt idx="64">
                  <c:v>118.25217218792916</c:v>
                </c:pt>
                <c:pt idx="65">
                  <c:v>119.97011461151034</c:v>
                </c:pt>
                <c:pt idx="66">
                  <c:v>121.7215445528623</c:v>
                </c:pt>
                <c:pt idx="67">
                  <c:v>123.50625902577494</c:v>
                </c:pt>
                <c:pt idx="68">
                  <c:v>125.32406698440332</c:v>
                </c:pt>
                <c:pt idx="69">
                  <c:v>127.17478845802415</c:v>
                </c:pt>
                <c:pt idx="70">
                  <c:v>129.05825375995522</c:v>
                </c:pt>
                <c:pt idx="71">
                  <c:v>130.97430276332759</c:v>
                </c:pt>
                <c:pt idx="72">
                  <c:v>132.92278423720936</c:v>
                </c:pt>
                <c:pt idx="73">
                  <c:v>134.90355523729519</c:v>
                </c:pt>
                <c:pt idx="74">
                  <c:v>136.91648054599875</c:v>
                </c:pt>
                <c:pt idx="75">
                  <c:v>138.96143215733849</c:v>
                </c:pt>
                <c:pt idx="76">
                  <c:v>141.03828880248969</c:v>
                </c:pt>
                <c:pt idx="77">
                  <c:v>143.14693551230675</c:v>
                </c:pt>
                <c:pt idx="78">
                  <c:v>145.28726321349799</c:v>
                </c:pt>
                <c:pt idx="79">
                  <c:v>147.45916835546976</c:v>
                </c:pt>
                <c:pt idx="80">
                  <c:v>149.66255256515814</c:v>
                </c:pt>
                <c:pt idx="81">
                  <c:v>151.8973223274283</c:v>
                </c:pt>
                <c:pt idx="82">
                  <c:v>154.16338868885947</c:v>
                </c:pt>
                <c:pt idx="83">
                  <c:v>156.46066698294257</c:v>
                </c:pt>
                <c:pt idx="84">
                  <c:v>158.789076574907</c:v>
                </c:pt>
                <c:pt idx="85">
                  <c:v>161.1485406245597</c:v>
                </c:pt>
                <c:pt idx="86">
                  <c:v>163.5389858656701</c:v>
                </c:pt>
                <c:pt idx="87">
                  <c:v>165.96034240056969</c:v>
                </c:pt>
                <c:pt idx="88">
                  <c:v>168.41254350875727</c:v>
                </c:pt>
                <c:pt idx="89">
                  <c:v>170.89552546840517</c:v>
                </c:pt>
                <c:pt idx="90">
                  <c:v>173.40922738976764</c:v>
                </c:pt>
                <c:pt idx="91">
                  <c:v>175.95359105957047</c:v>
                </c:pt>
                <c:pt idx="92">
                  <c:v>178.52856079555207</c:v>
                </c:pt>
                <c:pt idx="93">
                  <c:v>181.13408331038673</c:v>
                </c:pt>
                <c:pt idx="94">
                  <c:v>183.77010758429404</c:v>
                </c:pt>
                <c:pt idx="95">
                  <c:v>186.4365847456954</c:v>
                </c:pt>
                <c:pt idx="96">
                  <c:v>189.13346795932782</c:v>
                </c:pt>
                <c:pt idx="97">
                  <c:v>191.86071232127907</c:v>
                </c:pt>
                <c:pt idx="98">
                  <c:v>191.96743369579639</c:v>
                </c:pt>
                <c:pt idx="99">
                  <c:v>190.48283724383123</c:v>
                </c:pt>
                <c:pt idx="100">
                  <c:v>188.99985339621762</c:v>
                </c:pt>
              </c:numCache>
            </c:numRef>
          </c:val>
          <c:smooth val="0"/>
        </c:ser>
        <c:ser>
          <c:idx val="1"/>
          <c:order val="3"/>
          <c:tx>
            <c:strRef>
              <c:f>'Calculations - Single'!$BQ$3</c:f>
              <c:strCache>
                <c:ptCount val="1"/>
                <c:pt idx="0">
                  <c:v>Transformer Loss</c:v>
                </c:pt>
              </c:strCache>
            </c:strRef>
          </c:tx>
          <c:spPr>
            <a:ln w="38100">
              <a:solidFill>
                <a:srgbClr val="002060"/>
              </a:solidFill>
              <a:prstDash val="sysDot"/>
            </a:ln>
          </c:spPr>
          <c:marker>
            <c:symbol val="none"/>
          </c:marker>
          <c:cat>
            <c:numLit>
              <c:formatCode>General</c:formatCode>
              <c:ptCount val="201"/>
              <c:pt idx="0">
                <c:v>0</c:v>
              </c:pt>
              <c:pt idx="1">
                <c:v>2.5000000000000001E-2</c:v>
              </c:pt>
              <c:pt idx="2">
                <c:v>0.05</c:v>
              </c:pt>
              <c:pt idx="3">
                <c:v>7.4999999999999997E-2</c:v>
              </c:pt>
              <c:pt idx="4">
                <c:v>0.1</c:v>
              </c:pt>
              <c:pt idx="5">
                <c:v>0.125</c:v>
              </c:pt>
              <c:pt idx="6">
                <c:v>0.15</c:v>
              </c:pt>
              <c:pt idx="7">
                <c:v>0.17500000000000002</c:v>
              </c:pt>
              <c:pt idx="8">
                <c:v>0.2</c:v>
              </c:pt>
              <c:pt idx="9">
                <c:v>0.22499999999999998</c:v>
              </c:pt>
              <c:pt idx="10">
                <c:v>0.25</c:v>
              </c:pt>
              <c:pt idx="11">
                <c:v>0.27500000000000002</c:v>
              </c:pt>
              <c:pt idx="12">
                <c:v>0.3</c:v>
              </c:pt>
              <c:pt idx="13">
                <c:v>0.32500000000000001</c:v>
              </c:pt>
              <c:pt idx="14">
                <c:v>0.35000000000000003</c:v>
              </c:pt>
              <c:pt idx="15">
                <c:v>0.375</c:v>
              </c:pt>
              <c:pt idx="16">
                <c:v>0.4</c:v>
              </c:pt>
              <c:pt idx="17">
                <c:v>0.42500000000000004</c:v>
              </c:pt>
              <c:pt idx="18">
                <c:v>0.44999999999999996</c:v>
              </c:pt>
              <c:pt idx="19">
                <c:v>0.47499999999999998</c:v>
              </c:pt>
              <c:pt idx="20">
                <c:v>0.5</c:v>
              </c:pt>
              <c:pt idx="21">
                <c:v>0.52500000000000002</c:v>
              </c:pt>
              <c:pt idx="22">
                <c:v>0.55000000000000004</c:v>
              </c:pt>
              <c:pt idx="23">
                <c:v>0.57500000000000007</c:v>
              </c:pt>
              <c:pt idx="24">
                <c:v>0.6</c:v>
              </c:pt>
              <c:pt idx="25">
                <c:v>0.625</c:v>
              </c:pt>
              <c:pt idx="26">
                <c:v>0.65</c:v>
              </c:pt>
              <c:pt idx="27">
                <c:v>0.67500000000000004</c:v>
              </c:pt>
              <c:pt idx="28">
                <c:v>0.70000000000000007</c:v>
              </c:pt>
              <c:pt idx="29">
                <c:v>0.72499999999999998</c:v>
              </c:pt>
              <c:pt idx="30">
                <c:v>0.75</c:v>
              </c:pt>
              <c:pt idx="31">
                <c:v>0.77500000000000002</c:v>
              </c:pt>
              <c:pt idx="32">
                <c:v>0.8</c:v>
              </c:pt>
              <c:pt idx="33">
                <c:v>0.82500000000000007</c:v>
              </c:pt>
              <c:pt idx="34">
                <c:v>0.85000000000000009</c:v>
              </c:pt>
              <c:pt idx="35">
                <c:v>0.875</c:v>
              </c:pt>
              <c:pt idx="36">
                <c:v>0.89999999999999991</c:v>
              </c:pt>
              <c:pt idx="37">
                <c:v>0.92500000000000004</c:v>
              </c:pt>
              <c:pt idx="38">
                <c:v>0.95</c:v>
              </c:pt>
              <c:pt idx="39">
                <c:v>0.97500000000000009</c:v>
              </c:pt>
              <c:pt idx="40">
                <c:v>1</c:v>
              </c:pt>
              <c:pt idx="41">
                <c:v>1.0249999999999999</c:v>
              </c:pt>
              <c:pt idx="42">
                <c:v>1.05</c:v>
              </c:pt>
              <c:pt idx="43">
                <c:v>1.075</c:v>
              </c:pt>
              <c:pt idx="44">
                <c:v>1.1000000000000001</c:v>
              </c:pt>
              <c:pt idx="45">
                <c:v>1.125</c:v>
              </c:pt>
              <c:pt idx="46">
                <c:v>1.1500000000000001</c:v>
              </c:pt>
              <c:pt idx="47">
                <c:v>1.1749999999999998</c:v>
              </c:pt>
              <c:pt idx="48">
                <c:v>1.2</c:v>
              </c:pt>
              <c:pt idx="49">
                <c:v>1.2250000000000001</c:v>
              </c:pt>
              <c:pt idx="50">
                <c:v>1.25</c:v>
              </c:pt>
              <c:pt idx="51">
                <c:v>1.2749999999999999</c:v>
              </c:pt>
              <c:pt idx="52">
                <c:v>1.3</c:v>
              </c:pt>
              <c:pt idx="53">
                <c:v>1.3250000000000002</c:v>
              </c:pt>
              <c:pt idx="54">
                <c:v>1.35</c:v>
              </c:pt>
              <c:pt idx="55">
                <c:v>1.375</c:v>
              </c:pt>
              <c:pt idx="56">
                <c:v>1.4000000000000001</c:v>
              </c:pt>
              <c:pt idx="57">
                <c:v>1.4249999999999998</c:v>
              </c:pt>
              <c:pt idx="58">
                <c:v>1.45</c:v>
              </c:pt>
              <c:pt idx="59">
                <c:v>1.4749999999999999</c:v>
              </c:pt>
              <c:pt idx="60">
                <c:v>1.5</c:v>
              </c:pt>
              <c:pt idx="61">
                <c:v>1.5249999999999999</c:v>
              </c:pt>
              <c:pt idx="62">
                <c:v>1.55</c:v>
              </c:pt>
              <c:pt idx="63">
                <c:v>1.575</c:v>
              </c:pt>
              <c:pt idx="64">
                <c:v>1.6</c:v>
              </c:pt>
              <c:pt idx="65">
                <c:v>1.625</c:v>
              </c:pt>
              <c:pt idx="66">
                <c:v>1.6500000000000001</c:v>
              </c:pt>
              <c:pt idx="67">
                <c:v>1.675</c:v>
              </c:pt>
              <c:pt idx="68">
                <c:v>1.7000000000000002</c:v>
              </c:pt>
              <c:pt idx="69">
                <c:v>1.7249999999999999</c:v>
              </c:pt>
              <c:pt idx="70">
                <c:v>1.75</c:v>
              </c:pt>
              <c:pt idx="71">
                <c:v>1.7749999999999999</c:v>
              </c:pt>
              <c:pt idx="72">
                <c:v>1.7999999999999998</c:v>
              </c:pt>
              <c:pt idx="73">
                <c:v>1.825</c:v>
              </c:pt>
              <c:pt idx="74">
                <c:v>1.85</c:v>
              </c:pt>
              <c:pt idx="75">
                <c:v>1.875</c:v>
              </c:pt>
              <c:pt idx="76">
                <c:v>1.9</c:v>
              </c:pt>
              <c:pt idx="77">
                <c:v>1.925</c:v>
              </c:pt>
              <c:pt idx="78">
                <c:v>1.9500000000000002</c:v>
              </c:pt>
              <c:pt idx="79">
                <c:v>1.9750000000000001</c:v>
              </c:pt>
              <c:pt idx="80">
                <c:v>2</c:v>
              </c:pt>
              <c:pt idx="81">
                <c:v>2.0250000000000004</c:v>
              </c:pt>
              <c:pt idx="82">
                <c:v>2.0499999999999998</c:v>
              </c:pt>
              <c:pt idx="83">
                <c:v>2.0749999999999997</c:v>
              </c:pt>
              <c:pt idx="84">
                <c:v>2.1</c:v>
              </c:pt>
              <c:pt idx="85">
                <c:v>2.125</c:v>
              </c:pt>
              <c:pt idx="86">
                <c:v>2.15</c:v>
              </c:pt>
              <c:pt idx="87">
                <c:v>2.1749999999999998</c:v>
              </c:pt>
              <c:pt idx="88">
                <c:v>2.2000000000000002</c:v>
              </c:pt>
              <c:pt idx="89">
                <c:v>2.2250000000000001</c:v>
              </c:pt>
              <c:pt idx="90">
                <c:v>2.25</c:v>
              </c:pt>
              <c:pt idx="91">
                <c:v>2.2749999999999999</c:v>
              </c:pt>
              <c:pt idx="92">
                <c:v>2.3000000000000003</c:v>
              </c:pt>
              <c:pt idx="93">
                <c:v>2.3250000000000002</c:v>
              </c:pt>
              <c:pt idx="94">
                <c:v>2.3499999999999996</c:v>
              </c:pt>
              <c:pt idx="95">
                <c:v>2.375</c:v>
              </c:pt>
              <c:pt idx="96">
                <c:v>2.4</c:v>
              </c:pt>
              <c:pt idx="97">
                <c:v>2.4249999999999998</c:v>
              </c:pt>
              <c:pt idx="98">
                <c:v>2.4500000000000002</c:v>
              </c:pt>
              <c:pt idx="99">
                <c:v>2.4750000000000001</c:v>
              </c:pt>
              <c:pt idx="100">
                <c:v>2.5</c:v>
              </c:pt>
              <c:pt idx="101">
                <c:v>2.5249999999999999</c:v>
              </c:pt>
              <c:pt idx="102">
                <c:v>2.5499999999999998</c:v>
              </c:pt>
              <c:pt idx="103">
                <c:v>2.5750000000000002</c:v>
              </c:pt>
              <c:pt idx="104">
                <c:v>2.6</c:v>
              </c:pt>
              <c:pt idx="105">
                <c:v>2.625</c:v>
              </c:pt>
              <c:pt idx="106">
                <c:v>2.6500000000000004</c:v>
              </c:pt>
              <c:pt idx="107">
                <c:v>2.6750000000000003</c:v>
              </c:pt>
              <c:pt idx="108">
                <c:v>2.7</c:v>
              </c:pt>
              <c:pt idx="109">
                <c:v>2.7250000000000001</c:v>
              </c:pt>
              <c:pt idx="110">
                <c:v>2.75</c:v>
              </c:pt>
              <c:pt idx="111">
                <c:v>2.7750000000000004</c:v>
              </c:pt>
              <c:pt idx="112">
                <c:v>2.8000000000000003</c:v>
              </c:pt>
              <c:pt idx="113">
                <c:v>2.8249999999999997</c:v>
              </c:pt>
              <c:pt idx="114">
                <c:v>2.8499999999999996</c:v>
              </c:pt>
              <c:pt idx="115">
                <c:v>2.875</c:v>
              </c:pt>
              <c:pt idx="116">
                <c:v>2.9</c:v>
              </c:pt>
              <c:pt idx="117">
                <c:v>2.9249999999999998</c:v>
              </c:pt>
              <c:pt idx="118">
                <c:v>2.9499999999999997</c:v>
              </c:pt>
              <c:pt idx="119">
                <c:v>2.9749999999999996</c:v>
              </c:pt>
              <c:pt idx="120">
                <c:v>3</c:v>
              </c:pt>
              <c:pt idx="121">
                <c:v>3.0249999999999999</c:v>
              </c:pt>
              <c:pt idx="122">
                <c:v>3.05</c:v>
              </c:pt>
              <c:pt idx="123">
                <c:v>3.0750000000000002</c:v>
              </c:pt>
              <c:pt idx="124">
                <c:v>3.1</c:v>
              </c:pt>
              <c:pt idx="125">
                <c:v>3.125</c:v>
              </c:pt>
              <c:pt idx="126">
                <c:v>3.15</c:v>
              </c:pt>
              <c:pt idx="127">
                <c:v>3.1749999999999998</c:v>
              </c:pt>
              <c:pt idx="128">
                <c:v>3.2</c:v>
              </c:pt>
              <c:pt idx="129">
                <c:v>3.2250000000000001</c:v>
              </c:pt>
              <c:pt idx="130">
                <c:v>3.25</c:v>
              </c:pt>
              <c:pt idx="131">
                <c:v>3.2750000000000004</c:v>
              </c:pt>
              <c:pt idx="132">
                <c:v>3.3000000000000003</c:v>
              </c:pt>
              <c:pt idx="133">
                <c:v>3.3250000000000002</c:v>
              </c:pt>
              <c:pt idx="134">
                <c:v>3.35</c:v>
              </c:pt>
              <c:pt idx="135">
                <c:v>3.375</c:v>
              </c:pt>
              <c:pt idx="136">
                <c:v>3.4000000000000004</c:v>
              </c:pt>
              <c:pt idx="137">
                <c:v>3.4250000000000003</c:v>
              </c:pt>
              <c:pt idx="138">
                <c:v>3.4499999999999997</c:v>
              </c:pt>
              <c:pt idx="139">
                <c:v>3.4749999999999996</c:v>
              </c:pt>
              <c:pt idx="140">
                <c:v>3.5</c:v>
              </c:pt>
              <c:pt idx="141">
                <c:v>3.5249999999999999</c:v>
              </c:pt>
              <c:pt idx="142">
                <c:v>3.55</c:v>
              </c:pt>
              <c:pt idx="143">
                <c:v>3.5749999999999997</c:v>
              </c:pt>
              <c:pt idx="144">
                <c:v>3.5999999999999996</c:v>
              </c:pt>
              <c:pt idx="145">
                <c:v>3.625</c:v>
              </c:pt>
              <c:pt idx="146">
                <c:v>3.65</c:v>
              </c:pt>
              <c:pt idx="147">
                <c:v>3.6749999999999998</c:v>
              </c:pt>
              <c:pt idx="148">
                <c:v>3.7</c:v>
              </c:pt>
              <c:pt idx="149">
                <c:v>3.7250000000000001</c:v>
              </c:pt>
              <c:pt idx="150">
                <c:v>3.75</c:v>
              </c:pt>
              <c:pt idx="151">
                <c:v>3.7749999999999999</c:v>
              </c:pt>
              <c:pt idx="152">
                <c:v>3.8</c:v>
              </c:pt>
              <c:pt idx="153">
                <c:v>3.8250000000000002</c:v>
              </c:pt>
              <c:pt idx="154">
                <c:v>3.85</c:v>
              </c:pt>
              <c:pt idx="155">
                <c:v>3.875</c:v>
              </c:pt>
              <c:pt idx="156">
                <c:v>3.9000000000000004</c:v>
              </c:pt>
              <c:pt idx="157">
                <c:v>3.9250000000000003</c:v>
              </c:pt>
              <c:pt idx="158">
                <c:v>3.95</c:v>
              </c:pt>
              <c:pt idx="159">
                <c:v>3.9750000000000001</c:v>
              </c:pt>
              <c:pt idx="160">
                <c:v>4</c:v>
              </c:pt>
              <c:pt idx="161">
                <c:v>4.0250000000000004</c:v>
              </c:pt>
              <c:pt idx="162">
                <c:v>4.0500000000000007</c:v>
              </c:pt>
              <c:pt idx="163">
                <c:v>4.0749999999999993</c:v>
              </c:pt>
              <c:pt idx="164">
                <c:v>4.0999999999999996</c:v>
              </c:pt>
              <c:pt idx="165">
                <c:v>4.125</c:v>
              </c:pt>
              <c:pt idx="166">
                <c:v>4.1499999999999995</c:v>
              </c:pt>
              <c:pt idx="167">
                <c:v>4.1749999999999998</c:v>
              </c:pt>
              <c:pt idx="168">
                <c:v>4.2</c:v>
              </c:pt>
              <c:pt idx="169">
                <c:v>4.2249999999999996</c:v>
              </c:pt>
              <c:pt idx="170">
                <c:v>4.25</c:v>
              </c:pt>
              <c:pt idx="171">
                <c:v>4.2750000000000004</c:v>
              </c:pt>
              <c:pt idx="172">
                <c:v>4.3</c:v>
              </c:pt>
              <c:pt idx="173">
                <c:v>4.3250000000000002</c:v>
              </c:pt>
              <c:pt idx="174">
                <c:v>4.3499999999999996</c:v>
              </c:pt>
              <c:pt idx="175">
                <c:v>4.375</c:v>
              </c:pt>
              <c:pt idx="176">
                <c:v>4.4000000000000004</c:v>
              </c:pt>
              <c:pt idx="177">
                <c:v>4.4249999999999998</c:v>
              </c:pt>
              <c:pt idx="178">
                <c:v>4.45</c:v>
              </c:pt>
              <c:pt idx="179">
                <c:v>4.4749999999999996</c:v>
              </c:pt>
              <c:pt idx="180">
                <c:v>4.5</c:v>
              </c:pt>
              <c:pt idx="181">
                <c:v>4.5250000000000004</c:v>
              </c:pt>
              <c:pt idx="182">
                <c:v>4.55</c:v>
              </c:pt>
              <c:pt idx="183">
                <c:v>4.5750000000000002</c:v>
              </c:pt>
              <c:pt idx="184">
                <c:v>4.6000000000000005</c:v>
              </c:pt>
              <c:pt idx="185">
                <c:v>4.625</c:v>
              </c:pt>
              <c:pt idx="186">
                <c:v>4.6500000000000004</c:v>
              </c:pt>
              <c:pt idx="187">
                <c:v>4.6750000000000007</c:v>
              </c:pt>
              <c:pt idx="188">
                <c:v>4.6999999999999993</c:v>
              </c:pt>
              <c:pt idx="189">
                <c:v>4.7249999999999996</c:v>
              </c:pt>
              <c:pt idx="190">
                <c:v>4.75</c:v>
              </c:pt>
              <c:pt idx="191">
                <c:v>4.7749999999999995</c:v>
              </c:pt>
              <c:pt idx="192">
                <c:v>4.8</c:v>
              </c:pt>
              <c:pt idx="193">
                <c:v>4.8250000000000002</c:v>
              </c:pt>
              <c:pt idx="194">
                <c:v>4.8499999999999996</c:v>
              </c:pt>
              <c:pt idx="195">
                <c:v>4.875</c:v>
              </c:pt>
              <c:pt idx="196">
                <c:v>4.9000000000000004</c:v>
              </c:pt>
              <c:pt idx="197">
                <c:v>4.9249999999999998</c:v>
              </c:pt>
              <c:pt idx="198">
                <c:v>4.95</c:v>
              </c:pt>
              <c:pt idx="199">
                <c:v>4.9749999999999996</c:v>
              </c:pt>
              <c:pt idx="200">
                <c:v>5</c:v>
              </c:pt>
            </c:numLit>
          </c:cat>
          <c:val>
            <c:numRef>
              <c:f>'Calculations - Single'!$BU$5:$BU$105</c:f>
              <c:numCache>
                <c:formatCode>0.0</c:formatCode>
                <c:ptCount val="101"/>
                <c:pt idx="0">
                  <c:v>0.88376608569668713</c:v>
                </c:pt>
                <c:pt idx="1">
                  <c:v>2.4106123104359565</c:v>
                </c:pt>
                <c:pt idx="2">
                  <c:v>4.8531756916687732</c:v>
                </c:pt>
                <c:pt idx="3">
                  <c:v>7.3418261903691979</c:v>
                </c:pt>
                <c:pt idx="4">
                  <c:v>9.8870939339505934</c:v>
                </c:pt>
                <c:pt idx="5">
                  <c:v>12.497805501882901</c:v>
                </c:pt>
                <c:pt idx="6">
                  <c:v>15.181720282525919</c:v>
                </c:pt>
                <c:pt idx="7">
                  <c:v>17.945845776514339</c:v>
                </c:pt>
                <c:pt idx="8">
                  <c:v>20.7966221334007</c:v>
                </c:pt>
                <c:pt idx="9">
                  <c:v>23.740041435937311</c:v>
                </c:pt>
                <c:pt idx="10">
                  <c:v>26.781730160157974</c:v>
                </c:pt>
                <c:pt idx="11">
                  <c:v>29.92700902754364</c:v>
                </c:pt>
                <c:pt idx="12">
                  <c:v>34.421778617588473</c:v>
                </c:pt>
                <c:pt idx="13">
                  <c:v>40.69003811134283</c:v>
                </c:pt>
                <c:pt idx="14">
                  <c:v>43.940795010852817</c:v>
                </c:pt>
                <c:pt idx="15">
                  <c:v>47.202046126543685</c:v>
                </c:pt>
                <c:pt idx="16">
                  <c:v>50.47326153010583</c:v>
                </c:pt>
                <c:pt idx="17">
                  <c:v>53.753969837835136</c:v>
                </c:pt>
                <c:pt idx="18">
                  <c:v>57.043748644148899</c:v>
                </c:pt>
                <c:pt idx="19">
                  <c:v>60.342216968381749</c:v>
                </c:pt>
                <c:pt idx="20">
                  <c:v>63.649029206427414</c:v>
                </c:pt>
                <c:pt idx="21">
                  <c:v>66.963870226448449</c:v>
                </c:pt>
                <c:pt idx="22">
                  <c:v>70.286451347591296</c:v>
                </c:pt>
                <c:pt idx="23">
                  <c:v>73.616507009478497</c:v>
                </c:pt>
                <c:pt idx="24">
                  <c:v>76.953791988705277</c:v>
                </c:pt>
                <c:pt idx="25">
                  <c:v>80.298079053281768</c:v>
                </c:pt>
                <c:pt idx="26">
                  <c:v>83.649156971230241</c:v>
                </c:pt>
                <c:pt idx="27">
                  <c:v>87.006828808207686</c:v>
                </c:pt>
                <c:pt idx="28">
                  <c:v>90.370910462986146</c:v>
                </c:pt>
                <c:pt idx="29">
                  <c:v>93.741229400196374</c:v>
                </c:pt>
                <c:pt idx="30">
                  <c:v>97.117623547839401</c:v>
                </c:pt>
                <c:pt idx="31">
                  <c:v>100.49994033333353</c:v>
                </c:pt>
                <c:pt idx="32">
                  <c:v>103.88803583675758</c:v>
                </c:pt>
                <c:pt idx="33">
                  <c:v>104.0593793021809</c:v>
                </c:pt>
                <c:pt idx="34">
                  <c:v>103.39680704424207</c:v>
                </c:pt>
                <c:pt idx="35">
                  <c:v>102.77667473050063</c:v>
                </c:pt>
                <c:pt idx="36">
                  <c:v>112.76129127960607</c:v>
                </c:pt>
                <c:pt idx="37">
                  <c:v>115.38629127960604</c:v>
                </c:pt>
                <c:pt idx="38">
                  <c:v>118.01129127960603</c:v>
                </c:pt>
                <c:pt idx="39">
                  <c:v>120.63629127960606</c:v>
                </c:pt>
                <c:pt idx="40">
                  <c:v>123.26129127960604</c:v>
                </c:pt>
                <c:pt idx="41">
                  <c:v>125.88629127960601</c:v>
                </c:pt>
                <c:pt idx="42">
                  <c:v>128.51129127960607</c:v>
                </c:pt>
                <c:pt idx="43">
                  <c:v>131.13629127960607</c:v>
                </c:pt>
                <c:pt idx="44">
                  <c:v>133.76129127960607</c:v>
                </c:pt>
                <c:pt idx="45">
                  <c:v>136.3862912796061</c:v>
                </c:pt>
                <c:pt idx="46">
                  <c:v>139.01129127960607</c:v>
                </c:pt>
                <c:pt idx="47">
                  <c:v>141.63629127960601</c:v>
                </c:pt>
                <c:pt idx="48">
                  <c:v>144.26129127960604</c:v>
                </c:pt>
                <c:pt idx="49">
                  <c:v>146.8862912796061</c:v>
                </c:pt>
                <c:pt idx="50">
                  <c:v>149.51129127960607</c:v>
                </c:pt>
                <c:pt idx="51">
                  <c:v>152.13629127960601</c:v>
                </c:pt>
                <c:pt idx="52">
                  <c:v>154.76129127960601</c:v>
                </c:pt>
                <c:pt idx="53">
                  <c:v>157.38629127960604</c:v>
                </c:pt>
                <c:pt idx="54">
                  <c:v>160.01129127960607</c:v>
                </c:pt>
                <c:pt idx="55">
                  <c:v>162.63629127960604</c:v>
                </c:pt>
                <c:pt idx="56">
                  <c:v>165.26129127960604</c:v>
                </c:pt>
                <c:pt idx="57">
                  <c:v>167.88629127960604</c:v>
                </c:pt>
                <c:pt idx="58">
                  <c:v>170.51129127960601</c:v>
                </c:pt>
                <c:pt idx="59">
                  <c:v>173.13629127960607</c:v>
                </c:pt>
                <c:pt idx="60">
                  <c:v>175.76129127960598</c:v>
                </c:pt>
                <c:pt idx="61">
                  <c:v>178.38629127960604</c:v>
                </c:pt>
                <c:pt idx="62">
                  <c:v>181.0112912796061</c:v>
                </c:pt>
                <c:pt idx="63">
                  <c:v>183.63629127960601</c:v>
                </c:pt>
                <c:pt idx="64">
                  <c:v>186.26129127960601</c:v>
                </c:pt>
                <c:pt idx="65">
                  <c:v>188.8862912796061</c:v>
                </c:pt>
                <c:pt idx="66">
                  <c:v>191.51129127960604</c:v>
                </c:pt>
                <c:pt idx="67">
                  <c:v>194.1362912796061</c:v>
                </c:pt>
                <c:pt idx="68">
                  <c:v>196.76129127960604</c:v>
                </c:pt>
                <c:pt idx="69">
                  <c:v>199.38629127960604</c:v>
                </c:pt>
                <c:pt idx="70">
                  <c:v>202.01129127960607</c:v>
                </c:pt>
                <c:pt idx="71">
                  <c:v>204.63629127960607</c:v>
                </c:pt>
                <c:pt idx="72">
                  <c:v>207.26129127960601</c:v>
                </c:pt>
                <c:pt idx="73">
                  <c:v>209.8862912796061</c:v>
                </c:pt>
                <c:pt idx="74">
                  <c:v>212.51129127960598</c:v>
                </c:pt>
                <c:pt idx="75">
                  <c:v>215.13629127960598</c:v>
                </c:pt>
                <c:pt idx="76">
                  <c:v>217.7612912796061</c:v>
                </c:pt>
                <c:pt idx="77">
                  <c:v>220.38629127960607</c:v>
                </c:pt>
                <c:pt idx="78">
                  <c:v>223.01129127960604</c:v>
                </c:pt>
                <c:pt idx="79">
                  <c:v>225.63629127960604</c:v>
                </c:pt>
                <c:pt idx="80">
                  <c:v>228.26129127960601</c:v>
                </c:pt>
                <c:pt idx="81">
                  <c:v>230.88629127960598</c:v>
                </c:pt>
                <c:pt idx="82">
                  <c:v>233.51129127960598</c:v>
                </c:pt>
                <c:pt idx="83">
                  <c:v>236.13629127960598</c:v>
                </c:pt>
                <c:pt idx="84">
                  <c:v>238.76129127960604</c:v>
                </c:pt>
                <c:pt idx="85">
                  <c:v>241.38629127960604</c:v>
                </c:pt>
                <c:pt idx="86">
                  <c:v>244.01129127960607</c:v>
                </c:pt>
                <c:pt idx="87">
                  <c:v>246.63629127960604</c:v>
                </c:pt>
                <c:pt idx="88">
                  <c:v>249.2612912796061</c:v>
                </c:pt>
                <c:pt idx="89">
                  <c:v>251.88629127960598</c:v>
                </c:pt>
                <c:pt idx="90">
                  <c:v>254.51129127960621</c:v>
                </c:pt>
                <c:pt idx="91">
                  <c:v>257.13629127960616</c:v>
                </c:pt>
                <c:pt idx="92">
                  <c:v>259.7612912796061</c:v>
                </c:pt>
                <c:pt idx="93">
                  <c:v>262.38629127960604</c:v>
                </c:pt>
                <c:pt idx="94">
                  <c:v>265.01129127960604</c:v>
                </c:pt>
                <c:pt idx="95">
                  <c:v>267.6362912796061</c:v>
                </c:pt>
                <c:pt idx="96">
                  <c:v>270.2612912796061</c:v>
                </c:pt>
                <c:pt idx="97">
                  <c:v>272.88629127960598</c:v>
                </c:pt>
                <c:pt idx="98">
                  <c:v>272.40013735014395</c:v>
                </c:pt>
                <c:pt idx="99">
                  <c:v>270.04358999596082</c:v>
                </c:pt>
                <c:pt idx="100">
                  <c:v>267.69377552342632</c:v>
                </c:pt>
              </c:numCache>
            </c:numRef>
          </c:val>
          <c:smooth val="0"/>
        </c:ser>
        <c:dLbls>
          <c:showLegendKey val="0"/>
          <c:showVal val="0"/>
          <c:showCatName val="0"/>
          <c:showSerName val="0"/>
          <c:showPercent val="0"/>
          <c:showBubbleSize val="0"/>
        </c:dLbls>
        <c:marker val="1"/>
        <c:smooth val="0"/>
        <c:axId val="131272704"/>
        <c:axId val="131200896"/>
      </c:lineChart>
      <c:catAx>
        <c:axId val="131176320"/>
        <c:scaling>
          <c:orientation val="minMax"/>
        </c:scaling>
        <c:delete val="0"/>
        <c:axPos val="b"/>
        <c:majorGridlines>
          <c:spPr>
            <a:ln w="15875">
              <a:solidFill>
                <a:srgbClr val="969696"/>
              </a:solidFill>
              <a:prstDash val="sysDash"/>
            </a:ln>
          </c:spPr>
        </c:majorGridlines>
        <c:minorGridlines/>
        <c:title>
          <c:tx>
            <c:rich>
              <a:bodyPr/>
              <a:lstStyle/>
              <a:p>
                <a:pPr>
                  <a:defRPr sz="1200" b="1" i="0" u="none" strike="noStrike" baseline="0">
                    <a:solidFill>
                      <a:srgbClr val="0000FF"/>
                    </a:solidFill>
                    <a:latin typeface="Arial" pitchFamily="34" charset="0"/>
                    <a:ea typeface="Calibri"/>
                    <a:cs typeface="Arial" pitchFamily="34" charset="0"/>
                  </a:defRPr>
                </a:pPr>
                <a:r>
                  <a:rPr lang="en-US" sz="1200">
                    <a:solidFill>
                      <a:srgbClr val="0000FF"/>
                    </a:solidFill>
                    <a:latin typeface="Arial" pitchFamily="34" charset="0"/>
                    <a:cs typeface="Arial" pitchFamily="34" charset="0"/>
                  </a:rPr>
                  <a:t>Load Current (mA)</a:t>
                </a:r>
              </a:p>
            </c:rich>
          </c:tx>
          <c:layout>
            <c:manualLayout>
              <c:xMode val="edge"/>
              <c:yMode val="edge"/>
              <c:x val="0.42471011396394504"/>
              <c:y val="0.93853771636955563"/>
            </c:manualLayout>
          </c:layout>
          <c:overlay val="0"/>
          <c:spPr>
            <a:noFill/>
            <a:ln w="25400">
              <a:noFill/>
            </a:ln>
          </c:spPr>
        </c:title>
        <c:numFmt formatCode="0" sourceLinked="1"/>
        <c:majorTickMark val="in"/>
        <c:minorTickMark val="in"/>
        <c:tickLblPos val="nextTo"/>
        <c:spPr>
          <a:ln w="3175">
            <a:solidFill>
              <a:srgbClr val="000000"/>
            </a:solidFill>
            <a:prstDash val="solid"/>
          </a:ln>
        </c:spPr>
        <c:txPr>
          <a:bodyPr rot="0" vert="horz"/>
          <a:lstStyle/>
          <a:p>
            <a:pPr>
              <a:defRPr sz="1100" b="1" i="0" u="none" strike="noStrike" baseline="0">
                <a:solidFill>
                  <a:srgbClr val="0000FF"/>
                </a:solidFill>
                <a:latin typeface="Arial" pitchFamily="34" charset="0"/>
                <a:ea typeface="Calibri"/>
                <a:cs typeface="Arial" pitchFamily="34" charset="0"/>
              </a:defRPr>
            </a:pPr>
            <a:endParaRPr lang="ko-KR"/>
          </a:p>
        </c:txPr>
        <c:crossAx val="131198976"/>
        <c:crosses val="autoZero"/>
        <c:auto val="1"/>
        <c:lblAlgn val="ctr"/>
        <c:lblOffset val="100"/>
        <c:tickLblSkip val="20"/>
        <c:tickMarkSkip val="20"/>
        <c:noMultiLvlLbl val="0"/>
      </c:catAx>
      <c:valAx>
        <c:axId val="131198976"/>
        <c:scaling>
          <c:orientation val="minMax"/>
          <c:max val="100"/>
          <c:min val="55"/>
        </c:scaling>
        <c:delete val="0"/>
        <c:axPos val="l"/>
        <c:majorGridlines>
          <c:spPr>
            <a:ln w="15875">
              <a:solidFill>
                <a:srgbClr val="808080"/>
              </a:solidFill>
              <a:prstDash val="solid"/>
            </a:ln>
          </c:spPr>
        </c:majorGridlines>
        <c:title>
          <c:tx>
            <c:rich>
              <a:bodyPr/>
              <a:lstStyle/>
              <a:p>
                <a:pPr>
                  <a:defRPr sz="1400" b="1" i="0" u="none" strike="noStrike" baseline="0">
                    <a:solidFill>
                      <a:srgbClr val="FF0000"/>
                    </a:solidFill>
                    <a:latin typeface="Arial" pitchFamily="34" charset="0"/>
                    <a:ea typeface="Calibri"/>
                    <a:cs typeface="Arial" pitchFamily="34" charset="0"/>
                  </a:defRPr>
                </a:pPr>
                <a:r>
                  <a:rPr lang="en-US" sz="1200" b="1">
                    <a:solidFill>
                      <a:srgbClr val="FF0000"/>
                    </a:solidFill>
                    <a:latin typeface="Arial" pitchFamily="34" charset="0"/>
                    <a:cs typeface="Arial" pitchFamily="34" charset="0"/>
                  </a:rPr>
                  <a:t>Efficiency  (%)</a:t>
                </a:r>
              </a:p>
            </c:rich>
          </c:tx>
          <c:layout>
            <c:manualLayout>
              <c:xMode val="edge"/>
              <c:yMode val="edge"/>
              <c:x val="1.2871858674081443E-2"/>
              <c:y val="0.37638177915688309"/>
            </c:manualLayout>
          </c:layout>
          <c:overlay val="0"/>
          <c:spPr>
            <a:noFill/>
            <a:ln w="25400">
              <a:noFill/>
            </a:ln>
          </c:spPr>
        </c:title>
        <c:numFmt formatCode="General" sourceLinked="0"/>
        <c:majorTickMark val="in"/>
        <c:minorTickMark val="in"/>
        <c:tickLblPos val="nextTo"/>
        <c:spPr>
          <a:ln w="3175">
            <a:solidFill>
              <a:srgbClr val="000000"/>
            </a:solidFill>
            <a:prstDash val="solid"/>
          </a:ln>
        </c:spPr>
        <c:txPr>
          <a:bodyPr rot="0" vert="horz"/>
          <a:lstStyle/>
          <a:p>
            <a:pPr>
              <a:defRPr sz="1100" b="1" i="0" u="none" strike="noStrike" baseline="0">
                <a:solidFill>
                  <a:srgbClr val="FF0000"/>
                </a:solidFill>
                <a:latin typeface="Arial" pitchFamily="34" charset="0"/>
                <a:ea typeface="Calibri"/>
                <a:cs typeface="Arial" pitchFamily="34" charset="0"/>
              </a:defRPr>
            </a:pPr>
            <a:endParaRPr lang="ko-KR"/>
          </a:p>
        </c:txPr>
        <c:crossAx val="131176320"/>
        <c:crossesAt val="0"/>
        <c:crossBetween val="between"/>
        <c:majorUnit val="5"/>
        <c:minorUnit val="2.5"/>
      </c:valAx>
      <c:valAx>
        <c:axId val="131200896"/>
        <c:scaling>
          <c:orientation val="minMax"/>
        </c:scaling>
        <c:delete val="0"/>
        <c:axPos val="r"/>
        <c:title>
          <c:tx>
            <c:rich>
              <a:bodyPr rot="-5400000" vert="horz"/>
              <a:lstStyle/>
              <a:p>
                <a:pPr>
                  <a:defRPr sz="1200" b="1"/>
                </a:pPr>
                <a:r>
                  <a:rPr lang="en-US" sz="1200" b="1"/>
                  <a:t>Power Loss (mW)</a:t>
                </a:r>
              </a:p>
            </c:rich>
          </c:tx>
          <c:layout>
            <c:manualLayout>
              <c:xMode val="edge"/>
              <c:yMode val="edge"/>
              <c:x val="0.95168474305601269"/>
              <c:y val="0.38117714045368295"/>
            </c:manualLayout>
          </c:layout>
          <c:overlay val="0"/>
        </c:title>
        <c:numFmt formatCode="General" sourceLinked="0"/>
        <c:majorTickMark val="out"/>
        <c:minorTickMark val="none"/>
        <c:tickLblPos val="nextTo"/>
        <c:txPr>
          <a:bodyPr/>
          <a:lstStyle/>
          <a:p>
            <a:pPr>
              <a:defRPr sz="1100" b="1">
                <a:solidFill>
                  <a:sysClr val="windowText" lastClr="000000"/>
                </a:solidFill>
              </a:defRPr>
            </a:pPr>
            <a:endParaRPr lang="ko-KR"/>
          </a:p>
        </c:txPr>
        <c:crossAx val="131272704"/>
        <c:crosses val="max"/>
        <c:crossBetween val="between"/>
      </c:valAx>
      <c:catAx>
        <c:axId val="131272704"/>
        <c:scaling>
          <c:orientation val="minMax"/>
        </c:scaling>
        <c:delete val="1"/>
        <c:axPos val="b"/>
        <c:numFmt formatCode="General" sourceLinked="1"/>
        <c:majorTickMark val="out"/>
        <c:minorTickMark val="none"/>
        <c:tickLblPos val="nextTo"/>
        <c:crossAx val="131200896"/>
        <c:crosses val="autoZero"/>
        <c:auto val="1"/>
        <c:lblAlgn val="ctr"/>
        <c:lblOffset val="100"/>
        <c:noMultiLvlLbl val="0"/>
      </c:catAx>
      <c:spPr>
        <a:noFill/>
        <a:ln w="25400">
          <a:noFill/>
        </a:ln>
      </c:spPr>
    </c:plotArea>
    <c:legend>
      <c:legendPos val="t"/>
      <c:layout>
        <c:manualLayout>
          <c:xMode val="edge"/>
          <c:yMode val="edge"/>
          <c:x val="0.40102557566231317"/>
          <c:y val="1.1892633038167682E-2"/>
          <c:w val="0.50550962619267337"/>
          <c:h val="8.9795049320617604E-2"/>
        </c:manualLayout>
      </c:layout>
      <c:overlay val="0"/>
      <c:spPr>
        <a:solidFill>
          <a:srgbClr val="FFFFFF"/>
        </a:solidFill>
        <a:ln w="25400">
          <a:noFill/>
        </a:ln>
      </c:spPr>
      <c:txPr>
        <a:bodyPr/>
        <a:lstStyle/>
        <a:p>
          <a:pPr>
            <a:defRPr sz="1100" b="0" i="0" u="none" strike="noStrike" baseline="0">
              <a:solidFill>
                <a:srgbClr val="000000"/>
              </a:solidFill>
              <a:latin typeface="Arial" pitchFamily="34" charset="0"/>
              <a:ea typeface="Calibri"/>
              <a:cs typeface="Arial" pitchFamily="34" charset="0"/>
            </a:defRPr>
          </a:pPr>
          <a:endParaRPr lang="ko-KR"/>
        </a:p>
      </c:txPr>
    </c:legend>
    <c:plotVisOnly val="1"/>
    <c:dispBlanksAs val="gap"/>
    <c:showDLblsOverMax val="0"/>
  </c:chart>
  <c:spPr>
    <a:solidFill>
      <a:srgbClr val="FFFFFF"/>
    </a:solidFill>
    <a:ln w="9525">
      <a:solidFill>
        <a:srgbClr val="808080"/>
      </a:solidFill>
    </a:ln>
  </c:spPr>
  <c:txPr>
    <a:bodyPr/>
    <a:lstStyle/>
    <a:p>
      <a:pPr>
        <a:defRPr sz="850" b="0" i="0" u="none" strike="noStrike" baseline="0">
          <a:solidFill>
            <a:srgbClr val="000000"/>
          </a:solidFill>
          <a:latin typeface="Arial"/>
          <a:ea typeface="Arial"/>
          <a:cs typeface="Arial"/>
        </a:defRPr>
      </a:pPr>
      <a:endParaRPr lang="ko-KR"/>
    </a:p>
  </c:txPr>
  <c:printSettings>
    <c:headerFooter alignWithMargins="0"/>
    <c:pageMargins b="1" l="0.750000000000006" r="0.750000000000006" t="1" header="0.5" footer="0.5"/>
    <c:pageSetup paperSize="5"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ko-K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280746883383756E-2"/>
          <c:y val="3.9892589721079133E-2"/>
          <c:w val="0.86047278973849184"/>
          <c:h val="0.83734080468357386"/>
        </c:manualLayout>
      </c:layout>
      <c:lineChart>
        <c:grouping val="standard"/>
        <c:varyColors val="0"/>
        <c:ser>
          <c:idx val="1"/>
          <c:order val="0"/>
          <c:tx>
            <c:v>VIN-min</c:v>
          </c:tx>
          <c:spPr>
            <a:ln>
              <a:solidFill>
                <a:srgbClr val="00B050"/>
              </a:solidFill>
              <a:prstDash val="sysDash"/>
            </a:ln>
          </c:spPr>
          <c:marker>
            <c:symbol val="none"/>
          </c:marker>
          <c:cat>
            <c:numRef>
              <c:f>'Calculations - Single'!$AM$5:$AM$105</c:f>
              <c:numCache>
                <c:formatCode>0</c:formatCode>
                <c:ptCount val="101"/>
                <c:pt idx="0">
                  <c:v>1.0000000000000002E-6</c:v>
                </c:pt>
                <c:pt idx="1">
                  <c:v>3</c:v>
                </c:pt>
                <c:pt idx="2">
                  <c:v>6</c:v>
                </c:pt>
                <c:pt idx="3">
                  <c:v>9</c:v>
                </c:pt>
                <c:pt idx="4">
                  <c:v>12</c:v>
                </c:pt>
                <c:pt idx="5">
                  <c:v>15</c:v>
                </c:pt>
                <c:pt idx="6">
                  <c:v>18</c:v>
                </c:pt>
                <c:pt idx="7">
                  <c:v>21</c:v>
                </c:pt>
                <c:pt idx="8">
                  <c:v>24</c:v>
                </c:pt>
                <c:pt idx="9">
                  <c:v>27</c:v>
                </c:pt>
                <c:pt idx="10">
                  <c:v>30</c:v>
                </c:pt>
                <c:pt idx="11">
                  <c:v>33</c:v>
                </c:pt>
                <c:pt idx="12">
                  <c:v>36</c:v>
                </c:pt>
                <c:pt idx="13">
                  <c:v>39</c:v>
                </c:pt>
                <c:pt idx="14">
                  <c:v>42</c:v>
                </c:pt>
                <c:pt idx="15">
                  <c:v>45</c:v>
                </c:pt>
                <c:pt idx="16">
                  <c:v>48</c:v>
                </c:pt>
                <c:pt idx="17">
                  <c:v>51.000000000000007</c:v>
                </c:pt>
                <c:pt idx="18">
                  <c:v>54</c:v>
                </c:pt>
                <c:pt idx="19">
                  <c:v>56.999999999999993</c:v>
                </c:pt>
                <c:pt idx="20">
                  <c:v>60</c:v>
                </c:pt>
                <c:pt idx="21">
                  <c:v>63</c:v>
                </c:pt>
                <c:pt idx="22">
                  <c:v>66</c:v>
                </c:pt>
                <c:pt idx="23">
                  <c:v>69</c:v>
                </c:pt>
                <c:pt idx="24">
                  <c:v>72</c:v>
                </c:pt>
                <c:pt idx="25">
                  <c:v>75</c:v>
                </c:pt>
                <c:pt idx="26">
                  <c:v>78</c:v>
                </c:pt>
                <c:pt idx="27">
                  <c:v>81</c:v>
                </c:pt>
                <c:pt idx="28">
                  <c:v>84</c:v>
                </c:pt>
                <c:pt idx="29">
                  <c:v>87</c:v>
                </c:pt>
                <c:pt idx="30">
                  <c:v>90</c:v>
                </c:pt>
                <c:pt idx="31">
                  <c:v>93</c:v>
                </c:pt>
                <c:pt idx="32">
                  <c:v>96</c:v>
                </c:pt>
                <c:pt idx="33">
                  <c:v>99</c:v>
                </c:pt>
                <c:pt idx="34">
                  <c:v>102.00000000000001</c:v>
                </c:pt>
                <c:pt idx="35">
                  <c:v>105</c:v>
                </c:pt>
                <c:pt idx="36">
                  <c:v>108</c:v>
                </c:pt>
                <c:pt idx="37">
                  <c:v>111</c:v>
                </c:pt>
                <c:pt idx="38">
                  <c:v>113.99999999999999</c:v>
                </c:pt>
                <c:pt idx="39">
                  <c:v>117</c:v>
                </c:pt>
                <c:pt idx="40">
                  <c:v>120</c:v>
                </c:pt>
                <c:pt idx="41">
                  <c:v>122.99999999999999</c:v>
                </c:pt>
                <c:pt idx="42">
                  <c:v>126</c:v>
                </c:pt>
                <c:pt idx="43">
                  <c:v>129</c:v>
                </c:pt>
                <c:pt idx="44">
                  <c:v>132</c:v>
                </c:pt>
                <c:pt idx="45">
                  <c:v>135</c:v>
                </c:pt>
                <c:pt idx="46">
                  <c:v>138</c:v>
                </c:pt>
                <c:pt idx="47">
                  <c:v>141</c:v>
                </c:pt>
                <c:pt idx="48">
                  <c:v>144</c:v>
                </c:pt>
                <c:pt idx="49">
                  <c:v>147</c:v>
                </c:pt>
                <c:pt idx="50">
                  <c:v>150</c:v>
                </c:pt>
                <c:pt idx="51">
                  <c:v>153</c:v>
                </c:pt>
                <c:pt idx="52">
                  <c:v>156</c:v>
                </c:pt>
                <c:pt idx="53">
                  <c:v>159</c:v>
                </c:pt>
                <c:pt idx="54">
                  <c:v>162</c:v>
                </c:pt>
                <c:pt idx="55">
                  <c:v>165</c:v>
                </c:pt>
                <c:pt idx="56">
                  <c:v>168</c:v>
                </c:pt>
                <c:pt idx="57">
                  <c:v>170.99999999999997</c:v>
                </c:pt>
                <c:pt idx="58">
                  <c:v>174</c:v>
                </c:pt>
                <c:pt idx="59">
                  <c:v>177</c:v>
                </c:pt>
                <c:pt idx="60">
                  <c:v>180</c:v>
                </c:pt>
                <c:pt idx="61">
                  <c:v>183</c:v>
                </c:pt>
                <c:pt idx="62">
                  <c:v>186</c:v>
                </c:pt>
                <c:pt idx="63">
                  <c:v>189</c:v>
                </c:pt>
                <c:pt idx="64">
                  <c:v>192</c:v>
                </c:pt>
                <c:pt idx="65">
                  <c:v>195</c:v>
                </c:pt>
                <c:pt idx="66">
                  <c:v>198</c:v>
                </c:pt>
                <c:pt idx="67">
                  <c:v>201</c:v>
                </c:pt>
                <c:pt idx="68">
                  <c:v>204.00000000000003</c:v>
                </c:pt>
                <c:pt idx="69">
                  <c:v>207</c:v>
                </c:pt>
                <c:pt idx="70">
                  <c:v>210</c:v>
                </c:pt>
                <c:pt idx="71">
                  <c:v>213</c:v>
                </c:pt>
                <c:pt idx="72">
                  <c:v>216</c:v>
                </c:pt>
                <c:pt idx="73">
                  <c:v>219</c:v>
                </c:pt>
                <c:pt idx="74">
                  <c:v>222</c:v>
                </c:pt>
                <c:pt idx="75">
                  <c:v>224.99999999999997</c:v>
                </c:pt>
                <c:pt idx="76">
                  <c:v>227.99999999999997</c:v>
                </c:pt>
                <c:pt idx="77">
                  <c:v>230.99999999999997</c:v>
                </c:pt>
                <c:pt idx="78">
                  <c:v>234</c:v>
                </c:pt>
                <c:pt idx="79">
                  <c:v>237</c:v>
                </c:pt>
                <c:pt idx="80">
                  <c:v>240</c:v>
                </c:pt>
                <c:pt idx="81">
                  <c:v>243</c:v>
                </c:pt>
                <c:pt idx="82">
                  <c:v>245.99999999999997</c:v>
                </c:pt>
                <c:pt idx="83">
                  <c:v>248.99999999999997</c:v>
                </c:pt>
                <c:pt idx="84">
                  <c:v>252</c:v>
                </c:pt>
                <c:pt idx="85">
                  <c:v>255</c:v>
                </c:pt>
                <c:pt idx="86">
                  <c:v>258</c:v>
                </c:pt>
                <c:pt idx="87">
                  <c:v>261</c:v>
                </c:pt>
                <c:pt idx="88">
                  <c:v>264</c:v>
                </c:pt>
                <c:pt idx="89">
                  <c:v>267</c:v>
                </c:pt>
                <c:pt idx="90">
                  <c:v>270</c:v>
                </c:pt>
                <c:pt idx="91">
                  <c:v>273</c:v>
                </c:pt>
                <c:pt idx="92">
                  <c:v>276</c:v>
                </c:pt>
                <c:pt idx="93">
                  <c:v>279</c:v>
                </c:pt>
                <c:pt idx="94">
                  <c:v>282</c:v>
                </c:pt>
                <c:pt idx="95">
                  <c:v>285</c:v>
                </c:pt>
                <c:pt idx="96">
                  <c:v>288</c:v>
                </c:pt>
                <c:pt idx="97">
                  <c:v>291</c:v>
                </c:pt>
                <c:pt idx="98">
                  <c:v>294</c:v>
                </c:pt>
                <c:pt idx="99">
                  <c:v>297</c:v>
                </c:pt>
                <c:pt idx="100">
                  <c:v>300</c:v>
                </c:pt>
              </c:numCache>
            </c:numRef>
          </c:cat>
          <c:val>
            <c:numRef>
              <c:f>'Calculations - Single'!$AN$110:$AN$210</c:f>
              <c:numCache>
                <c:formatCode>0.0</c:formatCode>
                <c:ptCount val="101"/>
                <c:pt idx="0">
                  <c:v>10</c:v>
                </c:pt>
                <c:pt idx="1">
                  <c:v>27.199762187871581</c:v>
                </c:pt>
                <c:pt idx="2">
                  <c:v>54.399524375743162</c:v>
                </c:pt>
                <c:pt idx="3">
                  <c:v>81.599286563614726</c:v>
                </c:pt>
                <c:pt idx="4">
                  <c:v>108.79904875148632</c:v>
                </c:pt>
                <c:pt idx="5">
                  <c:v>135.9988109393579</c:v>
                </c:pt>
                <c:pt idx="6">
                  <c:v>163.19857312722945</c:v>
                </c:pt>
                <c:pt idx="7">
                  <c:v>190.39833531510109</c:v>
                </c:pt>
                <c:pt idx="8">
                  <c:v>217.59809750297265</c:v>
                </c:pt>
                <c:pt idx="9">
                  <c:v>244.79785969084423</c:v>
                </c:pt>
                <c:pt idx="10">
                  <c:v>271.99762187871579</c:v>
                </c:pt>
                <c:pt idx="11">
                  <c:v>299.1973840665874</c:v>
                </c:pt>
                <c:pt idx="12">
                  <c:v>326.3971462544589</c:v>
                </c:pt>
                <c:pt idx="13">
                  <c:v>350</c:v>
                </c:pt>
                <c:pt idx="14">
                  <c:v>350</c:v>
                </c:pt>
                <c:pt idx="15">
                  <c:v>350</c:v>
                </c:pt>
                <c:pt idx="16">
                  <c:v>350</c:v>
                </c:pt>
                <c:pt idx="17">
                  <c:v>338.50635317881722</c:v>
                </c:pt>
                <c:pt idx="18">
                  <c:v>319.70044466888299</c:v>
                </c:pt>
                <c:pt idx="19">
                  <c:v>302.87410547578384</c:v>
                </c:pt>
                <c:pt idx="20">
                  <c:v>287.73040020199466</c:v>
                </c:pt>
                <c:pt idx="21">
                  <c:v>274.02895257332824</c:v>
                </c:pt>
                <c:pt idx="22">
                  <c:v>261.57309109272239</c:v>
                </c:pt>
                <c:pt idx="23">
                  <c:v>250.2003480017344</c:v>
                </c:pt>
                <c:pt idx="24">
                  <c:v>239.77533350166223</c:v>
                </c:pt>
                <c:pt idx="25">
                  <c:v>230.18432016159571</c:v>
                </c:pt>
                <c:pt idx="26">
                  <c:v>221.33107707845744</c:v>
                </c:pt>
                <c:pt idx="27">
                  <c:v>213.1336297792553</c:v>
                </c:pt>
                <c:pt idx="28">
                  <c:v>205.52171442999617</c:v>
                </c:pt>
                <c:pt idx="29">
                  <c:v>198.4347587599963</c:v>
                </c:pt>
                <c:pt idx="30">
                  <c:v>191.82026680132978</c:v>
                </c:pt>
                <c:pt idx="31">
                  <c:v>185.63251625935143</c:v>
                </c:pt>
                <c:pt idx="32">
                  <c:v>179.83150012624668</c:v>
                </c:pt>
                <c:pt idx="33">
                  <c:v>174.38206072848158</c:v>
                </c:pt>
                <c:pt idx="34">
                  <c:v>169.25317658940861</c:v>
                </c:pt>
                <c:pt idx="35">
                  <c:v>164.41737154399695</c:v>
                </c:pt>
                <c:pt idx="36">
                  <c:v>159.8502223344415</c:v>
                </c:pt>
                <c:pt idx="37">
                  <c:v>155.52994605513223</c:v>
                </c:pt>
                <c:pt idx="38">
                  <c:v>151.43705273789192</c:v>
                </c:pt>
                <c:pt idx="39">
                  <c:v>147.5540513856383</c:v>
                </c:pt>
                <c:pt idx="40">
                  <c:v>143.86520010099733</c:v>
                </c:pt>
                <c:pt idx="41">
                  <c:v>140.35629278146081</c:v>
                </c:pt>
                <c:pt idx="42">
                  <c:v>137.01447628666412</c:v>
                </c:pt>
                <c:pt idx="43">
                  <c:v>133.82809311720678</c:v>
                </c:pt>
                <c:pt idx="44">
                  <c:v>130.7865455463612</c:v>
                </c:pt>
                <c:pt idx="45">
                  <c:v>127.88017786755316</c:v>
                </c:pt>
                <c:pt idx="46">
                  <c:v>125.1001740008672</c:v>
                </c:pt>
                <c:pt idx="47">
                  <c:v>122.43846817106156</c:v>
                </c:pt>
                <c:pt idx="48">
                  <c:v>119.88766675083112</c:v>
                </c:pt>
                <c:pt idx="49">
                  <c:v>117.44097967428353</c:v>
                </c:pt>
                <c:pt idx="50">
                  <c:v>115.09216008079785</c:v>
                </c:pt>
                <c:pt idx="51">
                  <c:v>112.83545105960575</c:v>
                </c:pt>
                <c:pt idx="52">
                  <c:v>110.66553853922872</c:v>
                </c:pt>
                <c:pt idx="53">
                  <c:v>108.57750951018667</c:v>
                </c:pt>
                <c:pt idx="54">
                  <c:v>106.56681488962765</c:v>
                </c:pt>
                <c:pt idx="55">
                  <c:v>104.62923643708898</c:v>
                </c:pt>
                <c:pt idx="56">
                  <c:v>102.76085721499808</c:v>
                </c:pt>
                <c:pt idx="57">
                  <c:v>100.95803515859461</c:v>
                </c:pt>
                <c:pt idx="58">
                  <c:v>99.21737937999815</c:v>
                </c:pt>
                <c:pt idx="59">
                  <c:v>97.535728882032103</c:v>
                </c:pt>
                <c:pt idx="60">
                  <c:v>95.91013340066489</c:v>
                </c:pt>
                <c:pt idx="61">
                  <c:v>94.337836131801524</c:v>
                </c:pt>
                <c:pt idx="62">
                  <c:v>92.816258129675717</c:v>
                </c:pt>
                <c:pt idx="63">
                  <c:v>91.342984191109409</c:v>
                </c:pt>
                <c:pt idx="64">
                  <c:v>89.91575006312334</c:v>
                </c:pt>
                <c:pt idx="65">
                  <c:v>88.532430831382968</c:v>
                </c:pt>
                <c:pt idx="66">
                  <c:v>87.191030364240788</c:v>
                </c:pt>
                <c:pt idx="67">
                  <c:v>85.889671702087952</c:v>
                </c:pt>
                <c:pt idx="68">
                  <c:v>84.626588294704305</c:v>
                </c:pt>
                <c:pt idx="69">
                  <c:v>83.400116000578166</c:v>
                </c:pt>
                <c:pt idx="70">
                  <c:v>82.489426667496929</c:v>
                </c:pt>
                <c:pt idx="71">
                  <c:v>81.957080926472344</c:v>
                </c:pt>
                <c:pt idx="72">
                  <c:v>81.425275140690644</c:v>
                </c:pt>
                <c:pt idx="73">
                  <c:v>80.894018845705986</c:v>
                </c:pt>
                <c:pt idx="74">
                  <c:v>80.363321780727333</c:v>
                </c:pt>
                <c:pt idx="75">
                  <c:v>79.83319389335422</c:v>
                </c:pt>
                <c:pt idx="76">
                  <c:v>79.303645344415642</c:v>
                </c:pt>
                <c:pt idx="77">
                  <c:v>78.774686512912993</c:v>
                </c:pt>
                <c:pt idx="78">
                  <c:v>78.246328001068349</c:v>
                </c:pt>
                <c:pt idx="79">
                  <c:v>77.718580639478617</c:v>
                </c:pt>
                <c:pt idx="80">
                  <c:v>77.191455492376733</c:v>
                </c:pt>
                <c:pt idx="81">
                  <c:v>76.664963863000196</c:v>
                </c:pt>
                <c:pt idx="82">
                  <c:v>76.139117299067806</c:v>
                </c:pt>
                <c:pt idx="83">
                  <c:v>75.61392759836454</c:v>
                </c:pt>
                <c:pt idx="84">
                  <c:v>75.08940681443508</c:v>
                </c:pt>
                <c:pt idx="85">
                  <c:v>74.565567262385912</c:v>
                </c:pt>
                <c:pt idx="86">
                  <c:v>74.042421524795429</c:v>
                </c:pt>
                <c:pt idx="87">
                  <c:v>73.519982457731942</c:v>
                </c:pt>
                <c:pt idx="88">
                  <c:v>72.998263196878838</c:v>
                </c:pt>
                <c:pt idx="89">
                  <c:v>72.477277163765521</c:v>
                </c:pt>
                <c:pt idx="90">
                  <c:v>71.957038072103273</c:v>
                </c:pt>
                <c:pt idx="91">
                  <c:v>71.437559934224183</c:v>
                </c:pt>
                <c:pt idx="92">
                  <c:v>70.918857067621147</c:v>
                </c:pt>
                <c:pt idx="93">
                  <c:v>70.40094410158666</c:v>
                </c:pt>
                <c:pt idx="94">
                  <c:v>69.883835983947549</c:v>
                </c:pt>
                <c:pt idx="95">
                  <c:v>69.367547987892564</c:v>
                </c:pt>
                <c:pt idx="96">
                  <c:v>68.852095718888989</c:v>
                </c:pt>
                <c:pt idx="97">
                  <c:v>68.337495121684157</c:v>
                </c:pt>
                <c:pt idx="98">
                  <c:v>67.823762487387114</c:v>
                </c:pt>
                <c:pt idx="99">
                  <c:v>67.310914460625099</c:v>
                </c:pt>
                <c:pt idx="100">
                  <c:v>66.798968046768749</c:v>
                </c:pt>
              </c:numCache>
            </c:numRef>
          </c:val>
          <c:smooth val="0"/>
        </c:ser>
        <c:ser>
          <c:idx val="0"/>
          <c:order val="1"/>
          <c:tx>
            <c:v>VIN-nom</c:v>
          </c:tx>
          <c:spPr>
            <a:ln w="28575">
              <a:solidFill>
                <a:srgbClr val="0000FF"/>
              </a:solidFill>
              <a:prstDash val="lgDash"/>
            </a:ln>
          </c:spPr>
          <c:marker>
            <c:symbol val="none"/>
          </c:marker>
          <c:cat>
            <c:numRef>
              <c:f>'Calculations - Single'!$AM$5:$AM$105</c:f>
              <c:numCache>
                <c:formatCode>0</c:formatCode>
                <c:ptCount val="101"/>
                <c:pt idx="0">
                  <c:v>1.0000000000000002E-6</c:v>
                </c:pt>
                <c:pt idx="1">
                  <c:v>3</c:v>
                </c:pt>
                <c:pt idx="2">
                  <c:v>6</c:v>
                </c:pt>
                <c:pt idx="3">
                  <c:v>9</c:v>
                </c:pt>
                <c:pt idx="4">
                  <c:v>12</c:v>
                </c:pt>
                <c:pt idx="5">
                  <c:v>15</c:v>
                </c:pt>
                <c:pt idx="6">
                  <c:v>18</c:v>
                </c:pt>
                <c:pt idx="7">
                  <c:v>21</c:v>
                </c:pt>
                <c:pt idx="8">
                  <c:v>24</c:v>
                </c:pt>
                <c:pt idx="9">
                  <c:v>27</c:v>
                </c:pt>
                <c:pt idx="10">
                  <c:v>30</c:v>
                </c:pt>
                <c:pt idx="11">
                  <c:v>33</c:v>
                </c:pt>
                <c:pt idx="12">
                  <c:v>36</c:v>
                </c:pt>
                <c:pt idx="13">
                  <c:v>39</c:v>
                </c:pt>
                <c:pt idx="14">
                  <c:v>42</c:v>
                </c:pt>
                <c:pt idx="15">
                  <c:v>45</c:v>
                </c:pt>
                <c:pt idx="16">
                  <c:v>48</c:v>
                </c:pt>
                <c:pt idx="17">
                  <c:v>51.000000000000007</c:v>
                </c:pt>
                <c:pt idx="18">
                  <c:v>54</c:v>
                </c:pt>
                <c:pt idx="19">
                  <c:v>56.999999999999993</c:v>
                </c:pt>
                <c:pt idx="20">
                  <c:v>60</c:v>
                </c:pt>
                <c:pt idx="21">
                  <c:v>63</c:v>
                </c:pt>
                <c:pt idx="22">
                  <c:v>66</c:v>
                </c:pt>
                <c:pt idx="23">
                  <c:v>69</c:v>
                </c:pt>
                <c:pt idx="24">
                  <c:v>72</c:v>
                </c:pt>
                <c:pt idx="25">
                  <c:v>75</c:v>
                </c:pt>
                <c:pt idx="26">
                  <c:v>78</c:v>
                </c:pt>
                <c:pt idx="27">
                  <c:v>81</c:v>
                </c:pt>
                <c:pt idx="28">
                  <c:v>84</c:v>
                </c:pt>
                <c:pt idx="29">
                  <c:v>87</c:v>
                </c:pt>
                <c:pt idx="30">
                  <c:v>90</c:v>
                </c:pt>
                <c:pt idx="31">
                  <c:v>93</c:v>
                </c:pt>
                <c:pt idx="32">
                  <c:v>96</c:v>
                </c:pt>
                <c:pt idx="33">
                  <c:v>99</c:v>
                </c:pt>
                <c:pt idx="34">
                  <c:v>102.00000000000001</c:v>
                </c:pt>
                <c:pt idx="35">
                  <c:v>105</c:v>
                </c:pt>
                <c:pt idx="36">
                  <c:v>108</c:v>
                </c:pt>
                <c:pt idx="37">
                  <c:v>111</c:v>
                </c:pt>
                <c:pt idx="38">
                  <c:v>113.99999999999999</c:v>
                </c:pt>
                <c:pt idx="39">
                  <c:v>117</c:v>
                </c:pt>
                <c:pt idx="40">
                  <c:v>120</c:v>
                </c:pt>
                <c:pt idx="41">
                  <c:v>122.99999999999999</c:v>
                </c:pt>
                <c:pt idx="42">
                  <c:v>126</c:v>
                </c:pt>
                <c:pt idx="43">
                  <c:v>129</c:v>
                </c:pt>
                <c:pt idx="44">
                  <c:v>132</c:v>
                </c:pt>
                <c:pt idx="45">
                  <c:v>135</c:v>
                </c:pt>
                <c:pt idx="46">
                  <c:v>138</c:v>
                </c:pt>
                <c:pt idx="47">
                  <c:v>141</c:v>
                </c:pt>
                <c:pt idx="48">
                  <c:v>144</c:v>
                </c:pt>
                <c:pt idx="49">
                  <c:v>147</c:v>
                </c:pt>
                <c:pt idx="50">
                  <c:v>150</c:v>
                </c:pt>
                <c:pt idx="51">
                  <c:v>153</c:v>
                </c:pt>
                <c:pt idx="52">
                  <c:v>156</c:v>
                </c:pt>
                <c:pt idx="53">
                  <c:v>159</c:v>
                </c:pt>
                <c:pt idx="54">
                  <c:v>162</c:v>
                </c:pt>
                <c:pt idx="55">
                  <c:v>165</c:v>
                </c:pt>
                <c:pt idx="56">
                  <c:v>168</c:v>
                </c:pt>
                <c:pt idx="57">
                  <c:v>170.99999999999997</c:v>
                </c:pt>
                <c:pt idx="58">
                  <c:v>174</c:v>
                </c:pt>
                <c:pt idx="59">
                  <c:v>177</c:v>
                </c:pt>
                <c:pt idx="60">
                  <c:v>180</c:v>
                </c:pt>
                <c:pt idx="61">
                  <c:v>183</c:v>
                </c:pt>
                <c:pt idx="62">
                  <c:v>186</c:v>
                </c:pt>
                <c:pt idx="63">
                  <c:v>189</c:v>
                </c:pt>
                <c:pt idx="64">
                  <c:v>192</c:v>
                </c:pt>
                <c:pt idx="65">
                  <c:v>195</c:v>
                </c:pt>
                <c:pt idx="66">
                  <c:v>198</c:v>
                </c:pt>
                <c:pt idx="67">
                  <c:v>201</c:v>
                </c:pt>
                <c:pt idx="68">
                  <c:v>204.00000000000003</c:v>
                </c:pt>
                <c:pt idx="69">
                  <c:v>207</c:v>
                </c:pt>
                <c:pt idx="70">
                  <c:v>210</c:v>
                </c:pt>
                <c:pt idx="71">
                  <c:v>213</c:v>
                </c:pt>
                <c:pt idx="72">
                  <c:v>216</c:v>
                </c:pt>
                <c:pt idx="73">
                  <c:v>219</c:v>
                </c:pt>
                <c:pt idx="74">
                  <c:v>222</c:v>
                </c:pt>
                <c:pt idx="75">
                  <c:v>224.99999999999997</c:v>
                </c:pt>
                <c:pt idx="76">
                  <c:v>227.99999999999997</c:v>
                </c:pt>
                <c:pt idx="77">
                  <c:v>230.99999999999997</c:v>
                </c:pt>
                <c:pt idx="78">
                  <c:v>234</c:v>
                </c:pt>
                <c:pt idx="79">
                  <c:v>237</c:v>
                </c:pt>
                <c:pt idx="80">
                  <c:v>240</c:v>
                </c:pt>
                <c:pt idx="81">
                  <c:v>243</c:v>
                </c:pt>
                <c:pt idx="82">
                  <c:v>245.99999999999997</c:v>
                </c:pt>
                <c:pt idx="83">
                  <c:v>248.99999999999997</c:v>
                </c:pt>
                <c:pt idx="84">
                  <c:v>252</c:v>
                </c:pt>
                <c:pt idx="85">
                  <c:v>255</c:v>
                </c:pt>
                <c:pt idx="86">
                  <c:v>258</c:v>
                </c:pt>
                <c:pt idx="87">
                  <c:v>261</c:v>
                </c:pt>
                <c:pt idx="88">
                  <c:v>264</c:v>
                </c:pt>
                <c:pt idx="89">
                  <c:v>267</c:v>
                </c:pt>
                <c:pt idx="90">
                  <c:v>270</c:v>
                </c:pt>
                <c:pt idx="91">
                  <c:v>273</c:v>
                </c:pt>
                <c:pt idx="92">
                  <c:v>276</c:v>
                </c:pt>
                <c:pt idx="93">
                  <c:v>279</c:v>
                </c:pt>
                <c:pt idx="94">
                  <c:v>282</c:v>
                </c:pt>
                <c:pt idx="95">
                  <c:v>285</c:v>
                </c:pt>
                <c:pt idx="96">
                  <c:v>288</c:v>
                </c:pt>
                <c:pt idx="97">
                  <c:v>291</c:v>
                </c:pt>
                <c:pt idx="98">
                  <c:v>294</c:v>
                </c:pt>
                <c:pt idx="99">
                  <c:v>297</c:v>
                </c:pt>
                <c:pt idx="100">
                  <c:v>300</c:v>
                </c:pt>
              </c:numCache>
            </c:numRef>
          </c:cat>
          <c:val>
            <c:numRef>
              <c:f>'Calculations - Single'!$AN$5:$AN$105</c:f>
              <c:numCache>
                <c:formatCode>0.0</c:formatCode>
                <c:ptCount val="101"/>
                <c:pt idx="0">
                  <c:v>10</c:v>
                </c:pt>
                <c:pt idx="1">
                  <c:v>27.199762187871581</c:v>
                </c:pt>
                <c:pt idx="2">
                  <c:v>54.399524375743162</c:v>
                </c:pt>
                <c:pt idx="3">
                  <c:v>81.599286563614726</c:v>
                </c:pt>
                <c:pt idx="4">
                  <c:v>108.79904875148632</c:v>
                </c:pt>
                <c:pt idx="5">
                  <c:v>135.9988109393579</c:v>
                </c:pt>
                <c:pt idx="6">
                  <c:v>163.19857312722945</c:v>
                </c:pt>
                <c:pt idx="7">
                  <c:v>190.39833531510109</c:v>
                </c:pt>
                <c:pt idx="8">
                  <c:v>217.59809750297265</c:v>
                </c:pt>
                <c:pt idx="9">
                  <c:v>244.79785969084423</c:v>
                </c:pt>
                <c:pt idx="10">
                  <c:v>271.99762187871579</c:v>
                </c:pt>
                <c:pt idx="11">
                  <c:v>299.1973840665874</c:v>
                </c:pt>
                <c:pt idx="12">
                  <c:v>326.3971462544589</c:v>
                </c:pt>
                <c:pt idx="13">
                  <c:v>350</c:v>
                </c:pt>
                <c:pt idx="14">
                  <c:v>350</c:v>
                </c:pt>
                <c:pt idx="15">
                  <c:v>350</c:v>
                </c:pt>
                <c:pt idx="16">
                  <c:v>350</c:v>
                </c:pt>
                <c:pt idx="17">
                  <c:v>350</c:v>
                </c:pt>
                <c:pt idx="18">
                  <c:v>350</c:v>
                </c:pt>
                <c:pt idx="19">
                  <c:v>350</c:v>
                </c:pt>
                <c:pt idx="20">
                  <c:v>350</c:v>
                </c:pt>
                <c:pt idx="21">
                  <c:v>350</c:v>
                </c:pt>
                <c:pt idx="22">
                  <c:v>350</c:v>
                </c:pt>
                <c:pt idx="23">
                  <c:v>350</c:v>
                </c:pt>
                <c:pt idx="24">
                  <c:v>350</c:v>
                </c:pt>
                <c:pt idx="25">
                  <c:v>350</c:v>
                </c:pt>
                <c:pt idx="26">
                  <c:v>350</c:v>
                </c:pt>
                <c:pt idx="27">
                  <c:v>350</c:v>
                </c:pt>
                <c:pt idx="28">
                  <c:v>350</c:v>
                </c:pt>
                <c:pt idx="29">
                  <c:v>350</c:v>
                </c:pt>
                <c:pt idx="30">
                  <c:v>350</c:v>
                </c:pt>
                <c:pt idx="31">
                  <c:v>350</c:v>
                </c:pt>
                <c:pt idx="32">
                  <c:v>350</c:v>
                </c:pt>
                <c:pt idx="33">
                  <c:v>341.66086417580397</c:v>
                </c:pt>
                <c:pt idx="34">
                  <c:v>331.61201522945674</c:v>
                </c:pt>
                <c:pt idx="35">
                  <c:v>322.13738622290089</c:v>
                </c:pt>
                <c:pt idx="36">
                  <c:v>313.18912549448709</c:v>
                </c:pt>
                <c:pt idx="37">
                  <c:v>304.72455453517648</c:v>
                </c:pt>
                <c:pt idx="38">
                  <c:v>296.70548731056664</c:v>
                </c:pt>
                <c:pt idx="39">
                  <c:v>289.09765430260342</c:v>
                </c:pt>
                <c:pt idx="40">
                  <c:v>281.87021294503836</c:v>
                </c:pt>
                <c:pt idx="41">
                  <c:v>274.9953297024764</c:v>
                </c:pt>
                <c:pt idx="42">
                  <c:v>268.44782185241741</c:v>
                </c:pt>
                <c:pt idx="43">
                  <c:v>262.20484925119843</c:v>
                </c:pt>
                <c:pt idx="44">
                  <c:v>256.24564813185299</c:v>
                </c:pt>
                <c:pt idx="45">
                  <c:v>250.55130039558961</c:v>
                </c:pt>
                <c:pt idx="46">
                  <c:v>245.10453299568547</c:v>
                </c:pt>
                <c:pt idx="47">
                  <c:v>239.88954293194749</c:v>
                </c:pt>
                <c:pt idx="48">
                  <c:v>234.89184412086527</c:v>
                </c:pt>
                <c:pt idx="49">
                  <c:v>230.09813301635779</c:v>
                </c:pt>
                <c:pt idx="50">
                  <c:v>225.49617035603063</c:v>
                </c:pt>
                <c:pt idx="51">
                  <c:v>221.07467681963789</c:v>
                </c:pt>
                <c:pt idx="52">
                  <c:v>216.82324072695255</c:v>
                </c:pt>
                <c:pt idx="53">
                  <c:v>212.73223618493455</c:v>
                </c:pt>
                <c:pt idx="54">
                  <c:v>208.79275032965796</c:v>
                </c:pt>
                <c:pt idx="55">
                  <c:v>204.99651850548236</c:v>
                </c:pt>
                <c:pt idx="56">
                  <c:v>201.33586638931305</c:v>
                </c:pt>
                <c:pt idx="57">
                  <c:v>197.80365820704444</c:v>
                </c:pt>
                <c:pt idx="58">
                  <c:v>194.39325030692297</c:v>
                </c:pt>
                <c:pt idx="59">
                  <c:v>191.09844945426326</c:v>
                </c:pt>
                <c:pt idx="60">
                  <c:v>187.91347529669218</c:v>
                </c:pt>
                <c:pt idx="61">
                  <c:v>184.83292652133659</c:v>
                </c:pt>
                <c:pt idx="62">
                  <c:v>181.85175028712149</c:v>
                </c:pt>
                <c:pt idx="63">
                  <c:v>178.96521456827827</c:v>
                </c:pt>
                <c:pt idx="64">
                  <c:v>176.16888309064893</c:v>
                </c:pt>
                <c:pt idx="65">
                  <c:v>173.45859258156204</c:v>
                </c:pt>
                <c:pt idx="66">
                  <c:v>170.83043208790198</c:v>
                </c:pt>
                <c:pt idx="67">
                  <c:v>168.28072414629153</c:v>
                </c:pt>
                <c:pt idx="68">
                  <c:v>165.80600761472837</c:v>
                </c:pt>
                <c:pt idx="69">
                  <c:v>163.40302199712366</c:v>
                </c:pt>
                <c:pt idx="70">
                  <c:v>161.06869311145044</c:v>
                </c:pt>
                <c:pt idx="71">
                  <c:v>158.80011996903565</c:v>
                </c:pt>
                <c:pt idx="72">
                  <c:v>156.59456274724354</c:v>
                </c:pt>
                <c:pt idx="73">
                  <c:v>154.44943175070594</c:v>
                </c:pt>
                <c:pt idx="74">
                  <c:v>152.36227726758824</c:v>
                </c:pt>
                <c:pt idx="75">
                  <c:v>150.33078023735376</c:v>
                </c:pt>
                <c:pt idx="76">
                  <c:v>148.35274365528332</c:v>
                </c:pt>
                <c:pt idx="77">
                  <c:v>146.42608464677315</c:v>
                </c:pt>
                <c:pt idx="78">
                  <c:v>144.54882715130171</c:v>
                </c:pt>
                <c:pt idx="79">
                  <c:v>142.71909516204471</c:v>
                </c:pt>
                <c:pt idx="80">
                  <c:v>140.93510647251918</c:v>
                </c:pt>
                <c:pt idx="81">
                  <c:v>139.19516688643864</c:v>
                </c:pt>
                <c:pt idx="82">
                  <c:v>137.4976648512382</c:v>
                </c:pt>
                <c:pt idx="83">
                  <c:v>135.84106647953655</c:v>
                </c:pt>
                <c:pt idx="84">
                  <c:v>134.2239109262087</c:v>
                </c:pt>
                <c:pt idx="85">
                  <c:v>132.64480609178273</c:v>
                </c:pt>
                <c:pt idx="86">
                  <c:v>131.10242462559921</c:v>
                </c:pt>
                <c:pt idx="87">
                  <c:v>129.59550020461532</c:v>
                </c:pt>
                <c:pt idx="88">
                  <c:v>128.12282406592649</c:v>
                </c:pt>
                <c:pt idx="89">
                  <c:v>126.68324177305091</c:v>
                </c:pt>
                <c:pt idx="90">
                  <c:v>125.2756501977948</c:v>
                </c:pt>
                <c:pt idx="91">
                  <c:v>123.89899470111574</c:v>
                </c:pt>
                <c:pt idx="92">
                  <c:v>122.55226649784274</c:v>
                </c:pt>
                <c:pt idx="93">
                  <c:v>121.2345001914143</c:v>
                </c:pt>
                <c:pt idx="94">
                  <c:v>119.94477146597374</c:v>
                </c:pt>
                <c:pt idx="95">
                  <c:v>118.68219492422669</c:v>
                </c:pt>
                <c:pt idx="96">
                  <c:v>117.44592206043264</c:v>
                </c:pt>
                <c:pt idx="97">
                  <c:v>116.23513935877868</c:v>
                </c:pt>
                <c:pt idx="98">
                  <c:v>115.21949979858776</c:v>
                </c:pt>
                <c:pt idx="99">
                  <c:v>114.31198858023114</c:v>
                </c:pt>
                <c:pt idx="100">
                  <c:v>113.40546312237386</c:v>
                </c:pt>
              </c:numCache>
            </c:numRef>
          </c:val>
          <c:smooth val="0"/>
        </c:ser>
        <c:ser>
          <c:idx val="2"/>
          <c:order val="2"/>
          <c:tx>
            <c:v>VIN-max</c:v>
          </c:tx>
          <c:spPr>
            <a:ln>
              <a:solidFill>
                <a:srgbClr val="FF0000"/>
              </a:solidFill>
              <a:prstDash val="solid"/>
            </a:ln>
          </c:spPr>
          <c:marker>
            <c:symbol val="none"/>
          </c:marker>
          <c:cat>
            <c:numRef>
              <c:f>'Calculations - Single'!$AM$5:$AM$105</c:f>
              <c:numCache>
                <c:formatCode>0</c:formatCode>
                <c:ptCount val="101"/>
                <c:pt idx="0">
                  <c:v>1.0000000000000002E-6</c:v>
                </c:pt>
                <c:pt idx="1">
                  <c:v>3</c:v>
                </c:pt>
                <c:pt idx="2">
                  <c:v>6</c:v>
                </c:pt>
                <c:pt idx="3">
                  <c:v>9</c:v>
                </c:pt>
                <c:pt idx="4">
                  <c:v>12</c:v>
                </c:pt>
                <c:pt idx="5">
                  <c:v>15</c:v>
                </c:pt>
                <c:pt idx="6">
                  <c:v>18</c:v>
                </c:pt>
                <c:pt idx="7">
                  <c:v>21</c:v>
                </c:pt>
                <c:pt idx="8">
                  <c:v>24</c:v>
                </c:pt>
                <c:pt idx="9">
                  <c:v>27</c:v>
                </c:pt>
                <c:pt idx="10">
                  <c:v>30</c:v>
                </c:pt>
                <c:pt idx="11">
                  <c:v>33</c:v>
                </c:pt>
                <c:pt idx="12">
                  <c:v>36</c:v>
                </c:pt>
                <c:pt idx="13">
                  <c:v>39</c:v>
                </c:pt>
                <c:pt idx="14">
                  <c:v>42</c:v>
                </c:pt>
                <c:pt idx="15">
                  <c:v>45</c:v>
                </c:pt>
                <c:pt idx="16">
                  <c:v>48</c:v>
                </c:pt>
                <c:pt idx="17">
                  <c:v>51.000000000000007</c:v>
                </c:pt>
                <c:pt idx="18">
                  <c:v>54</c:v>
                </c:pt>
                <c:pt idx="19">
                  <c:v>56.999999999999993</c:v>
                </c:pt>
                <c:pt idx="20">
                  <c:v>60</c:v>
                </c:pt>
                <c:pt idx="21">
                  <c:v>63</c:v>
                </c:pt>
                <c:pt idx="22">
                  <c:v>66</c:v>
                </c:pt>
                <c:pt idx="23">
                  <c:v>69</c:v>
                </c:pt>
                <c:pt idx="24">
                  <c:v>72</c:v>
                </c:pt>
                <c:pt idx="25">
                  <c:v>75</c:v>
                </c:pt>
                <c:pt idx="26">
                  <c:v>78</c:v>
                </c:pt>
                <c:pt idx="27">
                  <c:v>81</c:v>
                </c:pt>
                <c:pt idx="28">
                  <c:v>84</c:v>
                </c:pt>
                <c:pt idx="29">
                  <c:v>87</c:v>
                </c:pt>
                <c:pt idx="30">
                  <c:v>90</c:v>
                </c:pt>
                <c:pt idx="31">
                  <c:v>93</c:v>
                </c:pt>
                <c:pt idx="32">
                  <c:v>96</c:v>
                </c:pt>
                <c:pt idx="33">
                  <c:v>99</c:v>
                </c:pt>
                <c:pt idx="34">
                  <c:v>102.00000000000001</c:v>
                </c:pt>
                <c:pt idx="35">
                  <c:v>105</c:v>
                </c:pt>
                <c:pt idx="36">
                  <c:v>108</c:v>
                </c:pt>
                <c:pt idx="37">
                  <c:v>111</c:v>
                </c:pt>
                <c:pt idx="38">
                  <c:v>113.99999999999999</c:v>
                </c:pt>
                <c:pt idx="39">
                  <c:v>117</c:v>
                </c:pt>
                <c:pt idx="40">
                  <c:v>120</c:v>
                </c:pt>
                <c:pt idx="41">
                  <c:v>122.99999999999999</c:v>
                </c:pt>
                <c:pt idx="42">
                  <c:v>126</c:v>
                </c:pt>
                <c:pt idx="43">
                  <c:v>129</c:v>
                </c:pt>
                <c:pt idx="44">
                  <c:v>132</c:v>
                </c:pt>
                <c:pt idx="45">
                  <c:v>135</c:v>
                </c:pt>
                <c:pt idx="46">
                  <c:v>138</c:v>
                </c:pt>
                <c:pt idx="47">
                  <c:v>141</c:v>
                </c:pt>
                <c:pt idx="48">
                  <c:v>144</c:v>
                </c:pt>
                <c:pt idx="49">
                  <c:v>147</c:v>
                </c:pt>
                <c:pt idx="50">
                  <c:v>150</c:v>
                </c:pt>
                <c:pt idx="51">
                  <c:v>153</c:v>
                </c:pt>
                <c:pt idx="52">
                  <c:v>156</c:v>
                </c:pt>
                <c:pt idx="53">
                  <c:v>159</c:v>
                </c:pt>
                <c:pt idx="54">
                  <c:v>162</c:v>
                </c:pt>
                <c:pt idx="55">
                  <c:v>165</c:v>
                </c:pt>
                <c:pt idx="56">
                  <c:v>168</c:v>
                </c:pt>
                <c:pt idx="57">
                  <c:v>170.99999999999997</c:v>
                </c:pt>
                <c:pt idx="58">
                  <c:v>174</c:v>
                </c:pt>
                <c:pt idx="59">
                  <c:v>177</c:v>
                </c:pt>
                <c:pt idx="60">
                  <c:v>180</c:v>
                </c:pt>
                <c:pt idx="61">
                  <c:v>183</c:v>
                </c:pt>
                <c:pt idx="62">
                  <c:v>186</c:v>
                </c:pt>
                <c:pt idx="63">
                  <c:v>189</c:v>
                </c:pt>
                <c:pt idx="64">
                  <c:v>192</c:v>
                </c:pt>
                <c:pt idx="65">
                  <c:v>195</c:v>
                </c:pt>
                <c:pt idx="66">
                  <c:v>198</c:v>
                </c:pt>
                <c:pt idx="67">
                  <c:v>201</c:v>
                </c:pt>
                <c:pt idx="68">
                  <c:v>204.00000000000003</c:v>
                </c:pt>
                <c:pt idx="69">
                  <c:v>207</c:v>
                </c:pt>
                <c:pt idx="70">
                  <c:v>210</c:v>
                </c:pt>
                <c:pt idx="71">
                  <c:v>213</c:v>
                </c:pt>
                <c:pt idx="72">
                  <c:v>216</c:v>
                </c:pt>
                <c:pt idx="73">
                  <c:v>219</c:v>
                </c:pt>
                <c:pt idx="74">
                  <c:v>222</c:v>
                </c:pt>
                <c:pt idx="75">
                  <c:v>224.99999999999997</c:v>
                </c:pt>
                <c:pt idx="76">
                  <c:v>227.99999999999997</c:v>
                </c:pt>
                <c:pt idx="77">
                  <c:v>230.99999999999997</c:v>
                </c:pt>
                <c:pt idx="78">
                  <c:v>234</c:v>
                </c:pt>
                <c:pt idx="79">
                  <c:v>237</c:v>
                </c:pt>
                <c:pt idx="80">
                  <c:v>240</c:v>
                </c:pt>
                <c:pt idx="81">
                  <c:v>243</c:v>
                </c:pt>
                <c:pt idx="82">
                  <c:v>245.99999999999997</c:v>
                </c:pt>
                <c:pt idx="83">
                  <c:v>248.99999999999997</c:v>
                </c:pt>
                <c:pt idx="84">
                  <c:v>252</c:v>
                </c:pt>
                <c:pt idx="85">
                  <c:v>255</c:v>
                </c:pt>
                <c:pt idx="86">
                  <c:v>258</c:v>
                </c:pt>
                <c:pt idx="87">
                  <c:v>261</c:v>
                </c:pt>
                <c:pt idx="88">
                  <c:v>264</c:v>
                </c:pt>
                <c:pt idx="89">
                  <c:v>267</c:v>
                </c:pt>
                <c:pt idx="90">
                  <c:v>270</c:v>
                </c:pt>
                <c:pt idx="91">
                  <c:v>273</c:v>
                </c:pt>
                <c:pt idx="92">
                  <c:v>276</c:v>
                </c:pt>
                <c:pt idx="93">
                  <c:v>279</c:v>
                </c:pt>
                <c:pt idx="94">
                  <c:v>282</c:v>
                </c:pt>
                <c:pt idx="95">
                  <c:v>285</c:v>
                </c:pt>
                <c:pt idx="96">
                  <c:v>288</c:v>
                </c:pt>
                <c:pt idx="97">
                  <c:v>291</c:v>
                </c:pt>
                <c:pt idx="98">
                  <c:v>294</c:v>
                </c:pt>
                <c:pt idx="99">
                  <c:v>297</c:v>
                </c:pt>
                <c:pt idx="100">
                  <c:v>300</c:v>
                </c:pt>
              </c:numCache>
            </c:numRef>
          </c:cat>
          <c:val>
            <c:numRef>
              <c:f>'Calculations - Single'!$AN$216:$AN$316</c:f>
              <c:numCache>
                <c:formatCode>0.0</c:formatCode>
                <c:ptCount val="101"/>
                <c:pt idx="0">
                  <c:v>10</c:v>
                </c:pt>
                <c:pt idx="1">
                  <c:v>27.199762187871581</c:v>
                </c:pt>
                <c:pt idx="2">
                  <c:v>54.399524375743162</c:v>
                </c:pt>
                <c:pt idx="3">
                  <c:v>81.599286563614726</c:v>
                </c:pt>
                <c:pt idx="4">
                  <c:v>108.79904875148632</c:v>
                </c:pt>
                <c:pt idx="5">
                  <c:v>135.9988109393579</c:v>
                </c:pt>
                <c:pt idx="6">
                  <c:v>163.19857312722945</c:v>
                </c:pt>
                <c:pt idx="7">
                  <c:v>190.39833531510109</c:v>
                </c:pt>
                <c:pt idx="8">
                  <c:v>217.59809750297265</c:v>
                </c:pt>
                <c:pt idx="9">
                  <c:v>244.79785969084423</c:v>
                </c:pt>
                <c:pt idx="10">
                  <c:v>271.99762187871579</c:v>
                </c:pt>
                <c:pt idx="11">
                  <c:v>299.1973840665874</c:v>
                </c:pt>
                <c:pt idx="12">
                  <c:v>326.3971462544589</c:v>
                </c:pt>
                <c:pt idx="13">
                  <c:v>350</c:v>
                </c:pt>
                <c:pt idx="14">
                  <c:v>350</c:v>
                </c:pt>
                <c:pt idx="15">
                  <c:v>350</c:v>
                </c:pt>
                <c:pt idx="16">
                  <c:v>350</c:v>
                </c:pt>
                <c:pt idx="17">
                  <c:v>350</c:v>
                </c:pt>
                <c:pt idx="18">
                  <c:v>350</c:v>
                </c:pt>
                <c:pt idx="19">
                  <c:v>350</c:v>
                </c:pt>
                <c:pt idx="20">
                  <c:v>350</c:v>
                </c:pt>
                <c:pt idx="21">
                  <c:v>350</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350</c:v>
                </c:pt>
                <c:pt idx="57">
                  <c:v>350</c:v>
                </c:pt>
                <c:pt idx="58">
                  <c:v>350</c:v>
                </c:pt>
                <c:pt idx="59">
                  <c:v>350</c:v>
                </c:pt>
                <c:pt idx="60">
                  <c:v>350</c:v>
                </c:pt>
                <c:pt idx="61">
                  <c:v>350</c:v>
                </c:pt>
                <c:pt idx="62">
                  <c:v>350</c:v>
                </c:pt>
                <c:pt idx="63">
                  <c:v>345.0502193656074</c:v>
                </c:pt>
                <c:pt idx="64">
                  <c:v>339.6588096880198</c:v>
                </c:pt>
                <c:pt idx="65">
                  <c:v>334.43328953897333</c:v>
                </c:pt>
                <c:pt idx="66">
                  <c:v>329.36611848535244</c:v>
                </c:pt>
                <c:pt idx="67">
                  <c:v>324.45020626915317</c:v>
                </c:pt>
                <c:pt idx="68">
                  <c:v>319.67887970637162</c:v>
                </c:pt>
                <c:pt idx="69">
                  <c:v>315.04585246425029</c:v>
                </c:pt>
                <c:pt idx="70">
                  <c:v>310.54519742904671</c:v>
                </c:pt>
                <c:pt idx="71">
                  <c:v>306.17132140891931</c:v>
                </c:pt>
                <c:pt idx="72">
                  <c:v>301.91894194490646</c:v>
                </c:pt>
                <c:pt idx="73">
                  <c:v>297.78306602785301</c:v>
                </c:pt>
                <c:pt idx="74">
                  <c:v>293.75897054099011</c:v>
                </c:pt>
                <c:pt idx="75">
                  <c:v>289.84218426711033</c:v>
                </c:pt>
                <c:pt idx="76">
                  <c:v>286.02847131622724</c:v>
                </c:pt>
                <c:pt idx="77">
                  <c:v>282.31381584458785</c:v>
                </c:pt>
                <c:pt idx="78">
                  <c:v>278.69440794914448</c:v>
                </c:pt>
                <c:pt idx="79">
                  <c:v>275.16663063333255</c:v>
                </c:pt>
                <c:pt idx="80">
                  <c:v>271.72704775041592</c:v>
                </c:pt>
                <c:pt idx="81">
                  <c:v>268.37239283991687</c:v>
                </c:pt>
                <c:pt idx="82">
                  <c:v>265.09955878089357</c:v>
                </c:pt>
                <c:pt idx="83">
                  <c:v>261.90558819317192</c:v>
                </c:pt>
                <c:pt idx="84">
                  <c:v>258.78766452420552</c:v>
                </c:pt>
                <c:pt idx="85">
                  <c:v>255.74310376509723</c:v>
                </c:pt>
                <c:pt idx="86">
                  <c:v>252.76934674457291</c:v>
                </c:pt>
                <c:pt idx="87">
                  <c:v>249.86395195440537</c:v>
                </c:pt>
                <c:pt idx="88">
                  <c:v>247.02458886401439</c:v>
                </c:pt>
                <c:pt idx="89">
                  <c:v>244.24903168576702</c:v>
                </c:pt>
                <c:pt idx="90">
                  <c:v>241.53515355592518</c:v>
                </c:pt>
                <c:pt idx="91">
                  <c:v>238.88092109926663</c:v>
                </c:pt>
                <c:pt idx="92">
                  <c:v>236.28438934818766</c:v>
                </c:pt>
                <c:pt idx="93">
                  <c:v>233.74369698960501</c:v>
                </c:pt>
                <c:pt idx="94">
                  <c:v>231.25706191524756</c:v>
                </c:pt>
                <c:pt idx="95">
                  <c:v>228.82277705298185</c:v>
                </c:pt>
                <c:pt idx="96">
                  <c:v>226.43920645867985</c:v>
                </c:pt>
                <c:pt idx="97">
                  <c:v>224.10478164982752</c:v>
                </c:pt>
                <c:pt idx="98">
                  <c:v>221.81799816360476</c:v>
                </c:pt>
                <c:pt idx="99">
                  <c:v>219.57741232356832</c:v>
                </c:pt>
                <c:pt idx="100">
                  <c:v>217.38163820033265</c:v>
                </c:pt>
              </c:numCache>
            </c:numRef>
          </c:val>
          <c:smooth val="0"/>
        </c:ser>
        <c:ser>
          <c:idx val="3"/>
          <c:order val="3"/>
          <c:spPr>
            <a:ln>
              <a:noFill/>
            </a:ln>
          </c:spPr>
          <c:marker>
            <c:symbol val="x"/>
            <c:size val="10"/>
            <c:spPr>
              <a:pattFill prst="pct5">
                <a:fgClr>
                  <a:schemeClr val="tx1"/>
                </a:fgClr>
                <a:bgClr>
                  <a:schemeClr val="bg1"/>
                </a:bgClr>
              </a:pattFill>
              <a:ln>
                <a:solidFill>
                  <a:srgbClr val="33CC33"/>
                </a:solidFill>
              </a:ln>
            </c:spPr>
          </c:marker>
          <c:cat>
            <c:numRef>
              <c:f>'Calculations - Single'!$AM$5:$AM$105</c:f>
              <c:numCache>
                <c:formatCode>0</c:formatCode>
                <c:ptCount val="101"/>
                <c:pt idx="0">
                  <c:v>1.0000000000000002E-6</c:v>
                </c:pt>
                <c:pt idx="1">
                  <c:v>3</c:v>
                </c:pt>
                <c:pt idx="2">
                  <c:v>6</c:v>
                </c:pt>
                <c:pt idx="3">
                  <c:v>9</c:v>
                </c:pt>
                <c:pt idx="4">
                  <c:v>12</c:v>
                </c:pt>
                <c:pt idx="5">
                  <c:v>15</c:v>
                </c:pt>
                <c:pt idx="6">
                  <c:v>18</c:v>
                </c:pt>
                <c:pt idx="7">
                  <c:v>21</c:v>
                </c:pt>
                <c:pt idx="8">
                  <c:v>24</c:v>
                </c:pt>
                <c:pt idx="9">
                  <c:v>27</c:v>
                </c:pt>
                <c:pt idx="10">
                  <c:v>30</c:v>
                </c:pt>
                <c:pt idx="11">
                  <c:v>33</c:v>
                </c:pt>
                <c:pt idx="12">
                  <c:v>36</c:v>
                </c:pt>
                <c:pt idx="13">
                  <c:v>39</c:v>
                </c:pt>
                <c:pt idx="14">
                  <c:v>42</c:v>
                </c:pt>
                <c:pt idx="15">
                  <c:v>45</c:v>
                </c:pt>
                <c:pt idx="16">
                  <c:v>48</c:v>
                </c:pt>
                <c:pt idx="17">
                  <c:v>51.000000000000007</c:v>
                </c:pt>
                <c:pt idx="18">
                  <c:v>54</c:v>
                </c:pt>
                <c:pt idx="19">
                  <c:v>56.999999999999993</c:v>
                </c:pt>
                <c:pt idx="20">
                  <c:v>60</c:v>
                </c:pt>
                <c:pt idx="21">
                  <c:v>63</c:v>
                </c:pt>
                <c:pt idx="22">
                  <c:v>66</c:v>
                </c:pt>
                <c:pt idx="23">
                  <c:v>69</c:v>
                </c:pt>
                <c:pt idx="24">
                  <c:v>72</c:v>
                </c:pt>
                <c:pt idx="25">
                  <c:v>75</c:v>
                </c:pt>
                <c:pt idx="26">
                  <c:v>78</c:v>
                </c:pt>
                <c:pt idx="27">
                  <c:v>81</c:v>
                </c:pt>
                <c:pt idx="28">
                  <c:v>84</c:v>
                </c:pt>
                <c:pt idx="29">
                  <c:v>87</c:v>
                </c:pt>
                <c:pt idx="30">
                  <c:v>90</c:v>
                </c:pt>
                <c:pt idx="31">
                  <c:v>93</c:v>
                </c:pt>
                <c:pt idx="32">
                  <c:v>96</c:v>
                </c:pt>
                <c:pt idx="33">
                  <c:v>99</c:v>
                </c:pt>
                <c:pt idx="34">
                  <c:v>102.00000000000001</c:v>
                </c:pt>
                <c:pt idx="35">
                  <c:v>105</c:v>
                </c:pt>
                <c:pt idx="36">
                  <c:v>108</c:v>
                </c:pt>
                <c:pt idx="37">
                  <c:v>111</c:v>
                </c:pt>
                <c:pt idx="38">
                  <c:v>113.99999999999999</c:v>
                </c:pt>
                <c:pt idx="39">
                  <c:v>117</c:v>
                </c:pt>
                <c:pt idx="40">
                  <c:v>120</c:v>
                </c:pt>
                <c:pt idx="41">
                  <c:v>122.99999999999999</c:v>
                </c:pt>
                <c:pt idx="42">
                  <c:v>126</c:v>
                </c:pt>
                <c:pt idx="43">
                  <c:v>129</c:v>
                </c:pt>
                <c:pt idx="44">
                  <c:v>132</c:v>
                </c:pt>
                <c:pt idx="45">
                  <c:v>135</c:v>
                </c:pt>
                <c:pt idx="46">
                  <c:v>138</c:v>
                </c:pt>
                <c:pt idx="47">
                  <c:v>141</c:v>
                </c:pt>
                <c:pt idx="48">
                  <c:v>144</c:v>
                </c:pt>
                <c:pt idx="49">
                  <c:v>147</c:v>
                </c:pt>
                <c:pt idx="50">
                  <c:v>150</c:v>
                </c:pt>
                <c:pt idx="51">
                  <c:v>153</c:v>
                </c:pt>
                <c:pt idx="52">
                  <c:v>156</c:v>
                </c:pt>
                <c:pt idx="53">
                  <c:v>159</c:v>
                </c:pt>
                <c:pt idx="54">
                  <c:v>162</c:v>
                </c:pt>
                <c:pt idx="55">
                  <c:v>165</c:v>
                </c:pt>
                <c:pt idx="56">
                  <c:v>168</c:v>
                </c:pt>
                <c:pt idx="57">
                  <c:v>170.99999999999997</c:v>
                </c:pt>
                <c:pt idx="58">
                  <c:v>174</c:v>
                </c:pt>
                <c:pt idx="59">
                  <c:v>177</c:v>
                </c:pt>
                <c:pt idx="60">
                  <c:v>180</c:v>
                </c:pt>
                <c:pt idx="61">
                  <c:v>183</c:v>
                </c:pt>
                <c:pt idx="62">
                  <c:v>186</c:v>
                </c:pt>
                <c:pt idx="63">
                  <c:v>189</c:v>
                </c:pt>
                <c:pt idx="64">
                  <c:v>192</c:v>
                </c:pt>
                <c:pt idx="65">
                  <c:v>195</c:v>
                </c:pt>
                <c:pt idx="66">
                  <c:v>198</c:v>
                </c:pt>
                <c:pt idx="67">
                  <c:v>201</c:v>
                </c:pt>
                <c:pt idx="68">
                  <c:v>204.00000000000003</c:v>
                </c:pt>
                <c:pt idx="69">
                  <c:v>207</c:v>
                </c:pt>
                <c:pt idx="70">
                  <c:v>210</c:v>
                </c:pt>
                <c:pt idx="71">
                  <c:v>213</c:v>
                </c:pt>
                <c:pt idx="72">
                  <c:v>216</c:v>
                </c:pt>
                <c:pt idx="73">
                  <c:v>219</c:v>
                </c:pt>
                <c:pt idx="74">
                  <c:v>222</c:v>
                </c:pt>
                <c:pt idx="75">
                  <c:v>224.99999999999997</c:v>
                </c:pt>
                <c:pt idx="76">
                  <c:v>227.99999999999997</c:v>
                </c:pt>
                <c:pt idx="77">
                  <c:v>230.99999999999997</c:v>
                </c:pt>
                <c:pt idx="78">
                  <c:v>234</c:v>
                </c:pt>
                <c:pt idx="79">
                  <c:v>237</c:v>
                </c:pt>
                <c:pt idx="80">
                  <c:v>240</c:v>
                </c:pt>
                <c:pt idx="81">
                  <c:v>243</c:v>
                </c:pt>
                <c:pt idx="82">
                  <c:v>245.99999999999997</c:v>
                </c:pt>
                <c:pt idx="83">
                  <c:v>248.99999999999997</c:v>
                </c:pt>
                <c:pt idx="84">
                  <c:v>252</c:v>
                </c:pt>
                <c:pt idx="85">
                  <c:v>255</c:v>
                </c:pt>
                <c:pt idx="86">
                  <c:v>258</c:v>
                </c:pt>
                <c:pt idx="87">
                  <c:v>261</c:v>
                </c:pt>
                <c:pt idx="88">
                  <c:v>264</c:v>
                </c:pt>
                <c:pt idx="89">
                  <c:v>267</c:v>
                </c:pt>
                <c:pt idx="90">
                  <c:v>270</c:v>
                </c:pt>
                <c:pt idx="91">
                  <c:v>273</c:v>
                </c:pt>
                <c:pt idx="92">
                  <c:v>276</c:v>
                </c:pt>
                <c:pt idx="93">
                  <c:v>279</c:v>
                </c:pt>
                <c:pt idx="94">
                  <c:v>282</c:v>
                </c:pt>
                <c:pt idx="95">
                  <c:v>285</c:v>
                </c:pt>
                <c:pt idx="96">
                  <c:v>288</c:v>
                </c:pt>
                <c:pt idx="97">
                  <c:v>291</c:v>
                </c:pt>
                <c:pt idx="98">
                  <c:v>294</c:v>
                </c:pt>
                <c:pt idx="99">
                  <c:v>297</c:v>
                </c:pt>
                <c:pt idx="100">
                  <c:v>300</c:v>
                </c:pt>
              </c:numCache>
            </c:numRef>
          </c:cat>
          <c:val>
            <c:numRef>
              <c:f>'Calculations - Single'!$CB$110:$CB$210</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82.489426667496929</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ser>
        <c:ser>
          <c:idx val="4"/>
          <c:order val="4"/>
          <c:spPr>
            <a:ln>
              <a:noFill/>
            </a:ln>
          </c:spPr>
          <c:marker>
            <c:symbol val="x"/>
            <c:size val="10"/>
            <c:spPr>
              <a:pattFill prst="pct5">
                <a:fgClr>
                  <a:schemeClr val="tx1"/>
                </a:fgClr>
                <a:bgClr>
                  <a:schemeClr val="bg1"/>
                </a:bgClr>
              </a:pattFill>
              <a:ln>
                <a:solidFill>
                  <a:srgbClr val="0000FF"/>
                </a:solidFill>
              </a:ln>
            </c:spPr>
          </c:marker>
          <c:cat>
            <c:numRef>
              <c:f>'Calculations - Single'!$AM$5:$AM$105</c:f>
              <c:numCache>
                <c:formatCode>0</c:formatCode>
                <c:ptCount val="101"/>
                <c:pt idx="0">
                  <c:v>1.0000000000000002E-6</c:v>
                </c:pt>
                <c:pt idx="1">
                  <c:v>3</c:v>
                </c:pt>
                <c:pt idx="2">
                  <c:v>6</c:v>
                </c:pt>
                <c:pt idx="3">
                  <c:v>9</c:v>
                </c:pt>
                <c:pt idx="4">
                  <c:v>12</c:v>
                </c:pt>
                <c:pt idx="5">
                  <c:v>15</c:v>
                </c:pt>
                <c:pt idx="6">
                  <c:v>18</c:v>
                </c:pt>
                <c:pt idx="7">
                  <c:v>21</c:v>
                </c:pt>
                <c:pt idx="8">
                  <c:v>24</c:v>
                </c:pt>
                <c:pt idx="9">
                  <c:v>27</c:v>
                </c:pt>
                <c:pt idx="10">
                  <c:v>30</c:v>
                </c:pt>
                <c:pt idx="11">
                  <c:v>33</c:v>
                </c:pt>
                <c:pt idx="12">
                  <c:v>36</c:v>
                </c:pt>
                <c:pt idx="13">
                  <c:v>39</c:v>
                </c:pt>
                <c:pt idx="14">
                  <c:v>42</c:v>
                </c:pt>
                <c:pt idx="15">
                  <c:v>45</c:v>
                </c:pt>
                <c:pt idx="16">
                  <c:v>48</c:v>
                </c:pt>
                <c:pt idx="17">
                  <c:v>51.000000000000007</c:v>
                </c:pt>
                <c:pt idx="18">
                  <c:v>54</c:v>
                </c:pt>
                <c:pt idx="19">
                  <c:v>56.999999999999993</c:v>
                </c:pt>
                <c:pt idx="20">
                  <c:v>60</c:v>
                </c:pt>
                <c:pt idx="21">
                  <c:v>63</c:v>
                </c:pt>
                <c:pt idx="22">
                  <c:v>66</c:v>
                </c:pt>
                <c:pt idx="23">
                  <c:v>69</c:v>
                </c:pt>
                <c:pt idx="24">
                  <c:v>72</c:v>
                </c:pt>
                <c:pt idx="25">
                  <c:v>75</c:v>
                </c:pt>
                <c:pt idx="26">
                  <c:v>78</c:v>
                </c:pt>
                <c:pt idx="27">
                  <c:v>81</c:v>
                </c:pt>
                <c:pt idx="28">
                  <c:v>84</c:v>
                </c:pt>
                <c:pt idx="29">
                  <c:v>87</c:v>
                </c:pt>
                <c:pt idx="30">
                  <c:v>90</c:v>
                </c:pt>
                <c:pt idx="31">
                  <c:v>93</c:v>
                </c:pt>
                <c:pt idx="32">
                  <c:v>96</c:v>
                </c:pt>
                <c:pt idx="33">
                  <c:v>99</c:v>
                </c:pt>
                <c:pt idx="34">
                  <c:v>102.00000000000001</c:v>
                </c:pt>
                <c:pt idx="35">
                  <c:v>105</c:v>
                </c:pt>
                <c:pt idx="36">
                  <c:v>108</c:v>
                </c:pt>
                <c:pt idx="37">
                  <c:v>111</c:v>
                </c:pt>
                <c:pt idx="38">
                  <c:v>113.99999999999999</c:v>
                </c:pt>
                <c:pt idx="39">
                  <c:v>117</c:v>
                </c:pt>
                <c:pt idx="40">
                  <c:v>120</c:v>
                </c:pt>
                <c:pt idx="41">
                  <c:v>122.99999999999999</c:v>
                </c:pt>
                <c:pt idx="42">
                  <c:v>126</c:v>
                </c:pt>
                <c:pt idx="43">
                  <c:v>129</c:v>
                </c:pt>
                <c:pt idx="44">
                  <c:v>132</c:v>
                </c:pt>
                <c:pt idx="45">
                  <c:v>135</c:v>
                </c:pt>
                <c:pt idx="46">
                  <c:v>138</c:v>
                </c:pt>
                <c:pt idx="47">
                  <c:v>141</c:v>
                </c:pt>
                <c:pt idx="48">
                  <c:v>144</c:v>
                </c:pt>
                <c:pt idx="49">
                  <c:v>147</c:v>
                </c:pt>
                <c:pt idx="50">
                  <c:v>150</c:v>
                </c:pt>
                <c:pt idx="51">
                  <c:v>153</c:v>
                </c:pt>
                <c:pt idx="52">
                  <c:v>156</c:v>
                </c:pt>
                <c:pt idx="53">
                  <c:v>159</c:v>
                </c:pt>
                <c:pt idx="54">
                  <c:v>162</c:v>
                </c:pt>
                <c:pt idx="55">
                  <c:v>165</c:v>
                </c:pt>
                <c:pt idx="56">
                  <c:v>168</c:v>
                </c:pt>
                <c:pt idx="57">
                  <c:v>170.99999999999997</c:v>
                </c:pt>
                <c:pt idx="58">
                  <c:v>174</c:v>
                </c:pt>
                <c:pt idx="59">
                  <c:v>177</c:v>
                </c:pt>
                <c:pt idx="60">
                  <c:v>180</c:v>
                </c:pt>
                <c:pt idx="61">
                  <c:v>183</c:v>
                </c:pt>
                <c:pt idx="62">
                  <c:v>186</c:v>
                </c:pt>
                <c:pt idx="63">
                  <c:v>189</c:v>
                </c:pt>
                <c:pt idx="64">
                  <c:v>192</c:v>
                </c:pt>
                <c:pt idx="65">
                  <c:v>195</c:v>
                </c:pt>
                <c:pt idx="66">
                  <c:v>198</c:v>
                </c:pt>
                <c:pt idx="67">
                  <c:v>201</c:v>
                </c:pt>
                <c:pt idx="68">
                  <c:v>204.00000000000003</c:v>
                </c:pt>
                <c:pt idx="69">
                  <c:v>207</c:v>
                </c:pt>
                <c:pt idx="70">
                  <c:v>210</c:v>
                </c:pt>
                <c:pt idx="71">
                  <c:v>213</c:v>
                </c:pt>
                <c:pt idx="72">
                  <c:v>216</c:v>
                </c:pt>
                <c:pt idx="73">
                  <c:v>219</c:v>
                </c:pt>
                <c:pt idx="74">
                  <c:v>222</c:v>
                </c:pt>
                <c:pt idx="75">
                  <c:v>224.99999999999997</c:v>
                </c:pt>
                <c:pt idx="76">
                  <c:v>227.99999999999997</c:v>
                </c:pt>
                <c:pt idx="77">
                  <c:v>230.99999999999997</c:v>
                </c:pt>
                <c:pt idx="78">
                  <c:v>234</c:v>
                </c:pt>
                <c:pt idx="79">
                  <c:v>237</c:v>
                </c:pt>
                <c:pt idx="80">
                  <c:v>240</c:v>
                </c:pt>
                <c:pt idx="81">
                  <c:v>243</c:v>
                </c:pt>
                <c:pt idx="82">
                  <c:v>245.99999999999997</c:v>
                </c:pt>
                <c:pt idx="83">
                  <c:v>248.99999999999997</c:v>
                </c:pt>
                <c:pt idx="84">
                  <c:v>252</c:v>
                </c:pt>
                <c:pt idx="85">
                  <c:v>255</c:v>
                </c:pt>
                <c:pt idx="86">
                  <c:v>258</c:v>
                </c:pt>
                <c:pt idx="87">
                  <c:v>261</c:v>
                </c:pt>
                <c:pt idx="88">
                  <c:v>264</c:v>
                </c:pt>
                <c:pt idx="89">
                  <c:v>267</c:v>
                </c:pt>
                <c:pt idx="90">
                  <c:v>270</c:v>
                </c:pt>
                <c:pt idx="91">
                  <c:v>273</c:v>
                </c:pt>
                <c:pt idx="92">
                  <c:v>276</c:v>
                </c:pt>
                <c:pt idx="93">
                  <c:v>279</c:v>
                </c:pt>
                <c:pt idx="94">
                  <c:v>282</c:v>
                </c:pt>
                <c:pt idx="95">
                  <c:v>285</c:v>
                </c:pt>
                <c:pt idx="96">
                  <c:v>288</c:v>
                </c:pt>
                <c:pt idx="97">
                  <c:v>291</c:v>
                </c:pt>
                <c:pt idx="98">
                  <c:v>294</c:v>
                </c:pt>
                <c:pt idx="99">
                  <c:v>297</c:v>
                </c:pt>
                <c:pt idx="100">
                  <c:v>300</c:v>
                </c:pt>
              </c:numCache>
            </c:numRef>
          </c:cat>
          <c:val>
            <c:numRef>
              <c:f>'Calculations - Single'!$CB$5:$CB$105</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116.23513935877868</c:v>
                </c:pt>
                <c:pt idx="98">
                  <c:v>-50</c:v>
                </c:pt>
                <c:pt idx="99">
                  <c:v>-50</c:v>
                </c:pt>
                <c:pt idx="100">
                  <c:v>-50</c:v>
                </c:pt>
              </c:numCache>
            </c:numRef>
          </c:val>
          <c:smooth val="0"/>
        </c:ser>
        <c:ser>
          <c:idx val="5"/>
          <c:order val="5"/>
          <c:spPr>
            <a:ln>
              <a:noFill/>
            </a:ln>
          </c:spPr>
          <c:marker>
            <c:symbol val="x"/>
            <c:size val="10"/>
            <c:spPr>
              <a:pattFill prst="pct5">
                <a:fgClr>
                  <a:schemeClr val="tx1"/>
                </a:fgClr>
                <a:bgClr>
                  <a:schemeClr val="bg1"/>
                </a:bgClr>
              </a:pattFill>
              <a:ln>
                <a:solidFill>
                  <a:srgbClr val="FF0000"/>
                </a:solidFill>
              </a:ln>
            </c:spPr>
          </c:marker>
          <c:cat>
            <c:numRef>
              <c:f>'Calculations - Single'!$AM$5:$AM$105</c:f>
              <c:numCache>
                <c:formatCode>0</c:formatCode>
                <c:ptCount val="101"/>
                <c:pt idx="0">
                  <c:v>1.0000000000000002E-6</c:v>
                </c:pt>
                <c:pt idx="1">
                  <c:v>3</c:v>
                </c:pt>
                <c:pt idx="2">
                  <c:v>6</c:v>
                </c:pt>
                <c:pt idx="3">
                  <c:v>9</c:v>
                </c:pt>
                <c:pt idx="4">
                  <c:v>12</c:v>
                </c:pt>
                <c:pt idx="5">
                  <c:v>15</c:v>
                </c:pt>
                <c:pt idx="6">
                  <c:v>18</c:v>
                </c:pt>
                <c:pt idx="7">
                  <c:v>21</c:v>
                </c:pt>
                <c:pt idx="8">
                  <c:v>24</c:v>
                </c:pt>
                <c:pt idx="9">
                  <c:v>27</c:v>
                </c:pt>
                <c:pt idx="10">
                  <c:v>30</c:v>
                </c:pt>
                <c:pt idx="11">
                  <c:v>33</c:v>
                </c:pt>
                <c:pt idx="12">
                  <c:v>36</c:v>
                </c:pt>
                <c:pt idx="13">
                  <c:v>39</c:v>
                </c:pt>
                <c:pt idx="14">
                  <c:v>42</c:v>
                </c:pt>
                <c:pt idx="15">
                  <c:v>45</c:v>
                </c:pt>
                <c:pt idx="16">
                  <c:v>48</c:v>
                </c:pt>
                <c:pt idx="17">
                  <c:v>51.000000000000007</c:v>
                </c:pt>
                <c:pt idx="18">
                  <c:v>54</c:v>
                </c:pt>
                <c:pt idx="19">
                  <c:v>56.999999999999993</c:v>
                </c:pt>
                <c:pt idx="20">
                  <c:v>60</c:v>
                </c:pt>
                <c:pt idx="21">
                  <c:v>63</c:v>
                </c:pt>
                <c:pt idx="22">
                  <c:v>66</c:v>
                </c:pt>
                <c:pt idx="23">
                  <c:v>69</c:v>
                </c:pt>
                <c:pt idx="24">
                  <c:v>72</c:v>
                </c:pt>
                <c:pt idx="25">
                  <c:v>75</c:v>
                </c:pt>
                <c:pt idx="26">
                  <c:v>78</c:v>
                </c:pt>
                <c:pt idx="27">
                  <c:v>81</c:v>
                </c:pt>
                <c:pt idx="28">
                  <c:v>84</c:v>
                </c:pt>
                <c:pt idx="29">
                  <c:v>87</c:v>
                </c:pt>
                <c:pt idx="30">
                  <c:v>90</c:v>
                </c:pt>
                <c:pt idx="31">
                  <c:v>93</c:v>
                </c:pt>
                <c:pt idx="32">
                  <c:v>96</c:v>
                </c:pt>
                <c:pt idx="33">
                  <c:v>99</c:v>
                </c:pt>
                <c:pt idx="34">
                  <c:v>102.00000000000001</c:v>
                </c:pt>
                <c:pt idx="35">
                  <c:v>105</c:v>
                </c:pt>
                <c:pt idx="36">
                  <c:v>108</c:v>
                </c:pt>
                <c:pt idx="37">
                  <c:v>111</c:v>
                </c:pt>
                <c:pt idx="38">
                  <c:v>113.99999999999999</c:v>
                </c:pt>
                <c:pt idx="39">
                  <c:v>117</c:v>
                </c:pt>
                <c:pt idx="40">
                  <c:v>120</c:v>
                </c:pt>
                <c:pt idx="41">
                  <c:v>122.99999999999999</c:v>
                </c:pt>
                <c:pt idx="42">
                  <c:v>126</c:v>
                </c:pt>
                <c:pt idx="43">
                  <c:v>129</c:v>
                </c:pt>
                <c:pt idx="44">
                  <c:v>132</c:v>
                </c:pt>
                <c:pt idx="45">
                  <c:v>135</c:v>
                </c:pt>
                <c:pt idx="46">
                  <c:v>138</c:v>
                </c:pt>
                <c:pt idx="47">
                  <c:v>141</c:v>
                </c:pt>
                <c:pt idx="48">
                  <c:v>144</c:v>
                </c:pt>
                <c:pt idx="49">
                  <c:v>147</c:v>
                </c:pt>
                <c:pt idx="50">
                  <c:v>150</c:v>
                </c:pt>
                <c:pt idx="51">
                  <c:v>153</c:v>
                </c:pt>
                <c:pt idx="52">
                  <c:v>156</c:v>
                </c:pt>
                <c:pt idx="53">
                  <c:v>159</c:v>
                </c:pt>
                <c:pt idx="54">
                  <c:v>162</c:v>
                </c:pt>
                <c:pt idx="55">
                  <c:v>165</c:v>
                </c:pt>
                <c:pt idx="56">
                  <c:v>168</c:v>
                </c:pt>
                <c:pt idx="57">
                  <c:v>170.99999999999997</c:v>
                </c:pt>
                <c:pt idx="58">
                  <c:v>174</c:v>
                </c:pt>
                <c:pt idx="59">
                  <c:v>177</c:v>
                </c:pt>
                <c:pt idx="60">
                  <c:v>180</c:v>
                </c:pt>
                <c:pt idx="61">
                  <c:v>183</c:v>
                </c:pt>
                <c:pt idx="62">
                  <c:v>186</c:v>
                </c:pt>
                <c:pt idx="63">
                  <c:v>189</c:v>
                </c:pt>
                <c:pt idx="64">
                  <c:v>192</c:v>
                </c:pt>
                <c:pt idx="65">
                  <c:v>195</c:v>
                </c:pt>
                <c:pt idx="66">
                  <c:v>198</c:v>
                </c:pt>
                <c:pt idx="67">
                  <c:v>201</c:v>
                </c:pt>
                <c:pt idx="68">
                  <c:v>204.00000000000003</c:v>
                </c:pt>
                <c:pt idx="69">
                  <c:v>207</c:v>
                </c:pt>
                <c:pt idx="70">
                  <c:v>210</c:v>
                </c:pt>
                <c:pt idx="71">
                  <c:v>213</c:v>
                </c:pt>
                <c:pt idx="72">
                  <c:v>216</c:v>
                </c:pt>
                <c:pt idx="73">
                  <c:v>219</c:v>
                </c:pt>
                <c:pt idx="74">
                  <c:v>222</c:v>
                </c:pt>
                <c:pt idx="75">
                  <c:v>224.99999999999997</c:v>
                </c:pt>
                <c:pt idx="76">
                  <c:v>227.99999999999997</c:v>
                </c:pt>
                <c:pt idx="77">
                  <c:v>230.99999999999997</c:v>
                </c:pt>
                <c:pt idx="78">
                  <c:v>234</c:v>
                </c:pt>
                <c:pt idx="79">
                  <c:v>237</c:v>
                </c:pt>
                <c:pt idx="80">
                  <c:v>240</c:v>
                </c:pt>
                <c:pt idx="81">
                  <c:v>243</c:v>
                </c:pt>
                <c:pt idx="82">
                  <c:v>245.99999999999997</c:v>
                </c:pt>
                <c:pt idx="83">
                  <c:v>248.99999999999997</c:v>
                </c:pt>
                <c:pt idx="84">
                  <c:v>252</c:v>
                </c:pt>
                <c:pt idx="85">
                  <c:v>255</c:v>
                </c:pt>
                <c:pt idx="86">
                  <c:v>258</c:v>
                </c:pt>
                <c:pt idx="87">
                  <c:v>261</c:v>
                </c:pt>
                <c:pt idx="88">
                  <c:v>264</c:v>
                </c:pt>
                <c:pt idx="89">
                  <c:v>267</c:v>
                </c:pt>
                <c:pt idx="90">
                  <c:v>270</c:v>
                </c:pt>
                <c:pt idx="91">
                  <c:v>273</c:v>
                </c:pt>
                <c:pt idx="92">
                  <c:v>276</c:v>
                </c:pt>
                <c:pt idx="93">
                  <c:v>279</c:v>
                </c:pt>
                <c:pt idx="94">
                  <c:v>282</c:v>
                </c:pt>
                <c:pt idx="95">
                  <c:v>285</c:v>
                </c:pt>
                <c:pt idx="96">
                  <c:v>288</c:v>
                </c:pt>
                <c:pt idx="97">
                  <c:v>291</c:v>
                </c:pt>
                <c:pt idx="98">
                  <c:v>294</c:v>
                </c:pt>
                <c:pt idx="99">
                  <c:v>297</c:v>
                </c:pt>
                <c:pt idx="100">
                  <c:v>300</c:v>
                </c:pt>
              </c:numCache>
            </c:numRef>
          </c:cat>
          <c:val>
            <c:numRef>
              <c:f>'Calculations - Single'!$CB$216:$CB$316</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ser>
        <c:dLbls>
          <c:showLegendKey val="0"/>
          <c:showVal val="0"/>
          <c:showCatName val="0"/>
          <c:showSerName val="0"/>
          <c:showPercent val="0"/>
          <c:showBubbleSize val="0"/>
        </c:dLbls>
        <c:marker val="1"/>
        <c:smooth val="0"/>
        <c:axId val="131331584"/>
        <c:axId val="129835008"/>
      </c:lineChart>
      <c:catAx>
        <c:axId val="131331584"/>
        <c:scaling>
          <c:orientation val="minMax"/>
        </c:scaling>
        <c:delete val="0"/>
        <c:axPos val="b"/>
        <c:majorGridlines>
          <c:spPr>
            <a:ln w="15875">
              <a:solidFill>
                <a:srgbClr val="969696"/>
              </a:solidFill>
              <a:prstDash val="sysDash"/>
            </a:ln>
          </c:spPr>
        </c:majorGridlines>
        <c:title>
          <c:tx>
            <c:rich>
              <a:bodyPr/>
              <a:lstStyle/>
              <a:p>
                <a:pPr>
                  <a:defRPr sz="1200" b="1" i="0" u="none" strike="noStrike" baseline="0">
                    <a:solidFill>
                      <a:schemeClr val="tx1"/>
                    </a:solidFill>
                    <a:latin typeface="Arial" pitchFamily="34" charset="0"/>
                    <a:ea typeface="Calibri"/>
                    <a:cs typeface="Arial" pitchFamily="34" charset="0"/>
                  </a:defRPr>
                </a:pPr>
                <a:r>
                  <a:rPr lang="en-US" sz="1200">
                    <a:solidFill>
                      <a:schemeClr val="tx1"/>
                    </a:solidFill>
                    <a:latin typeface="Arial" pitchFamily="34" charset="0"/>
                    <a:cs typeface="Arial" pitchFamily="34" charset="0"/>
                  </a:rPr>
                  <a:t>Load Current (mA)</a:t>
                </a:r>
              </a:p>
            </c:rich>
          </c:tx>
          <c:layout>
            <c:manualLayout>
              <c:xMode val="edge"/>
              <c:yMode val="edge"/>
              <c:x val="0.45424135936496307"/>
              <c:y val="0.9410669161053864"/>
            </c:manualLayout>
          </c:layout>
          <c:overlay val="0"/>
          <c:spPr>
            <a:noFill/>
            <a:ln w="25400">
              <a:noFill/>
            </a:ln>
          </c:spPr>
        </c:title>
        <c:numFmt formatCode="0" sourceLinked="1"/>
        <c:majorTickMark val="in"/>
        <c:minorTickMark val="in"/>
        <c:tickLblPos val="nextTo"/>
        <c:spPr>
          <a:ln w="3175">
            <a:solidFill>
              <a:schemeClr val="tx1"/>
            </a:solidFill>
            <a:prstDash val="solid"/>
          </a:ln>
        </c:spPr>
        <c:txPr>
          <a:bodyPr rot="0" vert="horz"/>
          <a:lstStyle/>
          <a:p>
            <a:pPr>
              <a:defRPr sz="1100" b="1" i="0" u="none" strike="noStrike" baseline="0">
                <a:solidFill>
                  <a:schemeClr val="tx1"/>
                </a:solidFill>
                <a:latin typeface="Arial" pitchFamily="34" charset="0"/>
                <a:ea typeface="Calibri"/>
                <a:cs typeface="Arial" pitchFamily="34" charset="0"/>
              </a:defRPr>
            </a:pPr>
            <a:endParaRPr lang="ko-KR"/>
          </a:p>
        </c:txPr>
        <c:crossAx val="129835008"/>
        <c:crosses val="autoZero"/>
        <c:auto val="1"/>
        <c:lblAlgn val="ctr"/>
        <c:lblOffset val="100"/>
        <c:tickLblSkip val="20"/>
        <c:tickMarkSkip val="10"/>
        <c:noMultiLvlLbl val="0"/>
      </c:catAx>
      <c:valAx>
        <c:axId val="129835008"/>
        <c:scaling>
          <c:orientation val="minMax"/>
          <c:max val="400"/>
          <c:min val="0"/>
        </c:scaling>
        <c:delete val="0"/>
        <c:axPos val="l"/>
        <c:majorGridlines>
          <c:spPr>
            <a:ln w="15875">
              <a:solidFill>
                <a:srgbClr val="808080"/>
              </a:solidFill>
              <a:prstDash val="solid"/>
            </a:ln>
          </c:spPr>
        </c:majorGridlines>
        <c:title>
          <c:tx>
            <c:rich>
              <a:bodyPr/>
              <a:lstStyle/>
              <a:p>
                <a:pPr>
                  <a:defRPr sz="1400" b="1" i="0" u="none" strike="noStrike" baseline="0">
                    <a:solidFill>
                      <a:schemeClr val="tx1"/>
                    </a:solidFill>
                    <a:latin typeface="Arial" pitchFamily="34" charset="0"/>
                    <a:ea typeface="Calibri"/>
                    <a:cs typeface="Arial" pitchFamily="34" charset="0"/>
                  </a:defRPr>
                </a:pPr>
                <a:r>
                  <a:rPr lang="en-US" sz="1200" b="1">
                    <a:solidFill>
                      <a:schemeClr val="tx1"/>
                    </a:solidFill>
                    <a:latin typeface="Arial" pitchFamily="34" charset="0"/>
                    <a:cs typeface="Arial" pitchFamily="34" charset="0"/>
                  </a:rPr>
                  <a:t>Switching</a:t>
                </a:r>
                <a:r>
                  <a:rPr lang="en-US" sz="1200" b="1" baseline="0">
                    <a:solidFill>
                      <a:schemeClr val="tx1"/>
                    </a:solidFill>
                    <a:latin typeface="Arial" pitchFamily="34" charset="0"/>
                    <a:cs typeface="Arial" pitchFamily="34" charset="0"/>
                  </a:rPr>
                  <a:t> Frquency (kHz)</a:t>
                </a:r>
                <a:endParaRPr lang="en-US" sz="1200" b="1">
                  <a:solidFill>
                    <a:schemeClr val="tx1"/>
                  </a:solidFill>
                  <a:latin typeface="Arial" pitchFamily="34" charset="0"/>
                  <a:cs typeface="Arial" pitchFamily="34" charset="0"/>
                </a:endParaRPr>
              </a:p>
            </c:rich>
          </c:tx>
          <c:layout>
            <c:manualLayout>
              <c:xMode val="edge"/>
              <c:yMode val="edge"/>
              <c:x val="8.5568268367748525E-3"/>
              <c:y val="0.30050661099568304"/>
            </c:manualLayout>
          </c:layout>
          <c:overlay val="0"/>
          <c:spPr>
            <a:noFill/>
            <a:ln w="25400">
              <a:noFill/>
            </a:ln>
          </c:spPr>
        </c:title>
        <c:numFmt formatCode="#,##0" sourceLinked="0"/>
        <c:majorTickMark val="out"/>
        <c:minorTickMark val="in"/>
        <c:tickLblPos val="nextTo"/>
        <c:spPr>
          <a:ln w="3175">
            <a:solidFill>
              <a:srgbClr val="000000"/>
            </a:solidFill>
            <a:prstDash val="solid"/>
          </a:ln>
        </c:spPr>
        <c:txPr>
          <a:bodyPr rot="0" vert="horz"/>
          <a:lstStyle/>
          <a:p>
            <a:pPr>
              <a:defRPr sz="1100" b="1" i="0" u="none" strike="noStrike" baseline="0">
                <a:solidFill>
                  <a:schemeClr val="tx1"/>
                </a:solidFill>
                <a:latin typeface="Arial" pitchFamily="34" charset="0"/>
                <a:ea typeface="Calibri"/>
                <a:cs typeface="Arial" pitchFamily="34" charset="0"/>
              </a:defRPr>
            </a:pPr>
            <a:endParaRPr lang="ko-KR"/>
          </a:p>
        </c:txPr>
        <c:crossAx val="131331584"/>
        <c:crossesAt val="0"/>
        <c:crossBetween val="between"/>
        <c:majorUnit val="50"/>
        <c:minorUnit val="25"/>
      </c:valAx>
      <c:spPr>
        <a:solidFill>
          <a:srgbClr val="FFFFFF"/>
        </a:solidFill>
        <a:ln w="25400">
          <a:noFill/>
        </a:ln>
      </c:spPr>
    </c:plotArea>
    <c:legend>
      <c:legendPos val="l"/>
      <c:legendEntry>
        <c:idx val="3"/>
        <c:delete val="1"/>
      </c:legendEntry>
      <c:legendEntry>
        <c:idx val="4"/>
        <c:delete val="1"/>
      </c:legendEntry>
      <c:legendEntry>
        <c:idx val="5"/>
        <c:delete val="1"/>
      </c:legendEntry>
      <c:layout>
        <c:manualLayout>
          <c:xMode val="edge"/>
          <c:yMode val="edge"/>
          <c:x val="0.14682981090100111"/>
          <c:y val="0.67041751876868938"/>
          <c:w val="0.13753070632578046"/>
          <c:h val="0.17496836881861302"/>
        </c:manualLayout>
      </c:layout>
      <c:overlay val="0"/>
      <c:spPr>
        <a:solidFill>
          <a:srgbClr val="FFFFFF"/>
        </a:solidFill>
        <a:ln w="25400">
          <a:noFill/>
        </a:ln>
      </c:spPr>
      <c:txPr>
        <a:bodyPr/>
        <a:lstStyle/>
        <a:p>
          <a:pPr>
            <a:defRPr sz="1400" b="0" i="0" u="none" strike="noStrike" baseline="0">
              <a:solidFill>
                <a:srgbClr val="000000"/>
              </a:solidFill>
              <a:latin typeface="Arial" pitchFamily="34" charset="0"/>
              <a:ea typeface="Calibri"/>
              <a:cs typeface="Arial" pitchFamily="34" charset="0"/>
            </a:defRPr>
          </a:pPr>
          <a:endParaRPr lang="ko-KR"/>
        </a:p>
      </c:txPr>
    </c:legend>
    <c:plotVisOnly val="1"/>
    <c:dispBlanksAs val="gap"/>
    <c:showDLblsOverMax val="0"/>
  </c:chart>
  <c:spPr>
    <a:solidFill>
      <a:srgbClr val="FFFFFF"/>
    </a:solidFill>
    <a:ln w="9525">
      <a:noFill/>
    </a:ln>
  </c:spPr>
  <c:txPr>
    <a:bodyPr/>
    <a:lstStyle/>
    <a:p>
      <a:pPr>
        <a:defRPr sz="850" b="0" i="0" u="none" strike="noStrike" baseline="0">
          <a:solidFill>
            <a:srgbClr val="000000"/>
          </a:solidFill>
          <a:latin typeface="Arial"/>
          <a:ea typeface="Arial"/>
          <a:cs typeface="Arial"/>
        </a:defRPr>
      </a:pPr>
      <a:endParaRPr lang="ko-KR"/>
    </a:p>
  </c:txPr>
  <c:printSettings>
    <c:headerFooter alignWithMargins="0"/>
    <c:pageMargins b="1" l="0.750000000000006" r="0.750000000000006" t="1" header="0.5" footer="0.5"/>
    <c:pageSetup paperSize="5"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ko-K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393009796772281"/>
          <c:y val="9.6043598935517463E-2"/>
          <c:w val="0.79387547420256122"/>
          <c:h val="0.75083975467433728"/>
        </c:manualLayout>
      </c:layout>
      <c:lineChart>
        <c:grouping val="standard"/>
        <c:varyColors val="0"/>
        <c:ser>
          <c:idx val="9"/>
          <c:order val="9"/>
          <c:tx>
            <c:v>VIN-min</c:v>
          </c:tx>
          <c:spPr>
            <a:ln>
              <a:solidFill>
                <a:srgbClr val="00B050"/>
              </a:solidFill>
              <a:prstDash val="sysDash"/>
            </a:ln>
          </c:spPr>
          <c:marker>
            <c:symbol val="none"/>
          </c:marker>
          <c:cat>
            <c:numRef>
              <c:f>'Calculations - Dual'!$BZ$5:$BZ$105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11.000000000000002</c:v>
                </c:pt>
                <c:pt idx="12">
                  <c:v>12</c:v>
                </c:pt>
                <c:pt idx="13">
                  <c:v>13</c:v>
                </c:pt>
                <c:pt idx="14">
                  <c:v>14.000000000000002</c:v>
                </c:pt>
                <c:pt idx="15">
                  <c:v>15</c:v>
                </c:pt>
                <c:pt idx="16">
                  <c:v>16</c:v>
                </c:pt>
                <c:pt idx="17">
                  <c:v>17</c:v>
                </c:pt>
                <c:pt idx="18">
                  <c:v>18</c:v>
                </c:pt>
                <c:pt idx="19">
                  <c:v>19</c:v>
                </c:pt>
                <c:pt idx="20">
                  <c:v>20</c:v>
                </c:pt>
                <c:pt idx="21">
                  <c:v>21.000000000000004</c:v>
                </c:pt>
                <c:pt idx="22">
                  <c:v>22.000000000000004</c:v>
                </c:pt>
                <c:pt idx="23">
                  <c:v>23.000000000000004</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42.000000000000007</c:v>
                </c:pt>
                <c:pt idx="43">
                  <c:v>43.000000000000007</c:v>
                </c:pt>
                <c:pt idx="44">
                  <c:v>44.000000000000007</c:v>
                </c:pt>
                <c:pt idx="45">
                  <c:v>45.000000000000007</c:v>
                </c:pt>
                <c:pt idx="46">
                  <c:v>46.000000000000007</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84.000000000000014</c:v>
                </c:pt>
                <c:pt idx="85">
                  <c:v>85.000000000000014</c:v>
                </c:pt>
                <c:pt idx="86">
                  <c:v>86.000000000000014</c:v>
                </c:pt>
                <c:pt idx="87">
                  <c:v>87.000000000000014</c:v>
                </c:pt>
                <c:pt idx="88">
                  <c:v>88.000000000000014</c:v>
                </c:pt>
                <c:pt idx="89">
                  <c:v>89.000000000000014</c:v>
                </c:pt>
                <c:pt idx="90">
                  <c:v>90.000000000000014</c:v>
                </c:pt>
                <c:pt idx="91">
                  <c:v>91.000000000000014</c:v>
                </c:pt>
                <c:pt idx="92">
                  <c:v>92.000000000000014</c:v>
                </c:pt>
                <c:pt idx="93">
                  <c:v>93.000000000000014</c:v>
                </c:pt>
                <c:pt idx="94">
                  <c:v>94</c:v>
                </c:pt>
                <c:pt idx="95">
                  <c:v>95</c:v>
                </c:pt>
                <c:pt idx="96">
                  <c:v>96</c:v>
                </c:pt>
                <c:pt idx="97">
                  <c:v>97</c:v>
                </c:pt>
                <c:pt idx="98">
                  <c:v>98</c:v>
                </c:pt>
                <c:pt idx="99">
                  <c:v>99</c:v>
                </c:pt>
                <c:pt idx="100">
                  <c:v>100</c:v>
                </c:pt>
              </c:numCache>
            </c:numRef>
          </c:cat>
          <c:val>
            <c:numRef>
              <c:f>'Calculations - Dual'!$AM$110:$AM$210</c:f>
              <c:numCache>
                <c:formatCode>0.0</c:formatCode>
                <c:ptCount val="101"/>
                <c:pt idx="0">
                  <c:v>10</c:v>
                </c:pt>
                <c:pt idx="1">
                  <c:v>27.199762187871581</c:v>
                </c:pt>
                <c:pt idx="2">
                  <c:v>54.399524375743162</c:v>
                </c:pt>
                <c:pt idx="3">
                  <c:v>81.599286563614726</c:v>
                </c:pt>
                <c:pt idx="4">
                  <c:v>108.79904875148632</c:v>
                </c:pt>
                <c:pt idx="5">
                  <c:v>135.9988109393579</c:v>
                </c:pt>
                <c:pt idx="6">
                  <c:v>163.19857312722945</c:v>
                </c:pt>
                <c:pt idx="7">
                  <c:v>190.39833531510109</c:v>
                </c:pt>
                <c:pt idx="8">
                  <c:v>217.59809750297265</c:v>
                </c:pt>
                <c:pt idx="9">
                  <c:v>244.79785969084423</c:v>
                </c:pt>
                <c:pt idx="10">
                  <c:v>271.99762187871579</c:v>
                </c:pt>
                <c:pt idx="11">
                  <c:v>299.1973840665874</c:v>
                </c:pt>
                <c:pt idx="12">
                  <c:v>326.3971462544589</c:v>
                </c:pt>
                <c:pt idx="13">
                  <c:v>288.69270923277054</c:v>
                </c:pt>
                <c:pt idx="14">
                  <c:v>268.07180143042973</c:v>
                </c:pt>
                <c:pt idx="15">
                  <c:v>250.20034800173451</c:v>
                </c:pt>
                <c:pt idx="16">
                  <c:v>234.56282625162609</c:v>
                </c:pt>
                <c:pt idx="17">
                  <c:v>220.7650129427069</c:v>
                </c:pt>
                <c:pt idx="18">
                  <c:v>208.50029000144542</c:v>
                </c:pt>
                <c:pt idx="19">
                  <c:v>197.52659052768516</c:v>
                </c:pt>
                <c:pt idx="20">
                  <c:v>187.65026100130086</c:v>
                </c:pt>
                <c:pt idx="21">
                  <c:v>178.71453428695321</c:v>
                </c:pt>
                <c:pt idx="22">
                  <c:v>170.59114636481894</c:v>
                </c:pt>
                <c:pt idx="23">
                  <c:v>163.17414000113115</c:v>
                </c:pt>
                <c:pt idx="24">
                  <c:v>156.37521750108408</c:v>
                </c:pt>
                <c:pt idx="25">
                  <c:v>150.12020880104066</c:v>
                </c:pt>
                <c:pt idx="26">
                  <c:v>144.34635461638527</c:v>
                </c:pt>
                <c:pt idx="27">
                  <c:v>139.00019333429694</c:v>
                </c:pt>
                <c:pt idx="28">
                  <c:v>134.03590071521486</c:v>
                </c:pt>
                <c:pt idx="29">
                  <c:v>129.41397310434542</c:v>
                </c:pt>
                <c:pt idx="30">
                  <c:v>125.10017400086726</c:v>
                </c:pt>
                <c:pt idx="31">
                  <c:v>121.06468451696827</c:v>
                </c:pt>
                <c:pt idx="32">
                  <c:v>117.28141312581305</c:v>
                </c:pt>
                <c:pt idx="33">
                  <c:v>113.7274309098793</c:v>
                </c:pt>
                <c:pt idx="34">
                  <c:v>110.38250647135345</c:v>
                </c:pt>
                <c:pt idx="35">
                  <c:v>107.22872057217191</c:v>
                </c:pt>
                <c:pt idx="36">
                  <c:v>104.25014500072271</c:v>
                </c:pt>
                <c:pt idx="37">
                  <c:v>101.4325735142167</c:v>
                </c:pt>
                <c:pt idx="38">
                  <c:v>98.763295263842579</c:v>
                </c:pt>
                <c:pt idx="39">
                  <c:v>96.230903077590185</c:v>
                </c:pt>
                <c:pt idx="40">
                  <c:v>93.825130500650431</c:v>
                </c:pt>
                <c:pt idx="41">
                  <c:v>91.53671268356139</c:v>
                </c:pt>
                <c:pt idx="42">
                  <c:v>89.357267143476605</c:v>
                </c:pt>
                <c:pt idx="43">
                  <c:v>87.279191163395737</c:v>
                </c:pt>
                <c:pt idx="44">
                  <c:v>85.29557318240947</c:v>
                </c:pt>
                <c:pt idx="45">
                  <c:v>83.400116000578166</c:v>
                </c:pt>
                <c:pt idx="46">
                  <c:v>82.366063560073954</c:v>
                </c:pt>
                <c:pt idx="47">
                  <c:v>81.810907289115875</c:v>
                </c:pt>
                <c:pt idx="48">
                  <c:v>81.263577336392643</c:v>
                </c:pt>
                <c:pt idx="49">
                  <c:v>80.723909362949655</c:v>
                </c:pt>
                <c:pt idx="50">
                  <c:v>80.191743598957501</c:v>
                </c:pt>
                <c:pt idx="51">
                  <c:v>79.666924686013544</c:v>
                </c:pt>
                <c:pt idx="52">
                  <c:v>79.149301525929971</c:v>
                </c:pt>
                <c:pt idx="53">
                  <c:v>78.638727135699412</c:v>
                </c:pt>
                <c:pt idx="54">
                  <c:v>78.135058508345494</c:v>
                </c:pt>
                <c:pt idx="55">
                  <c:v>77.638156479381607</c:v>
                </c:pt>
                <c:pt idx="56">
                  <c:v>77.147885598616028</c:v>
                </c:pt>
                <c:pt idx="57">
                  <c:v>76.66411400705536</c:v>
                </c:pt>
                <c:pt idx="58">
                  <c:v>76.186713318671025</c:v>
                </c:pt>
                <c:pt idx="59">
                  <c:v>75.715558506806616</c:v>
                </c:pt>
                <c:pt idx="60">
                  <c:v>75.250527795014506</c:v>
                </c:pt>
                <c:pt idx="61">
                  <c:v>74.791502552121784</c:v>
                </c:pt>
                <c:pt idx="62">
                  <c:v>74.338367191335493</c:v>
                </c:pt>
                <c:pt idx="63">
                  <c:v>73.891009073206902</c:v>
                </c:pt>
                <c:pt idx="64">
                  <c:v>73.449318412283816</c:v>
                </c:pt>
                <c:pt idx="65">
                  <c:v>73.013188187288293</c:v>
                </c:pt>
                <c:pt idx="66">
                  <c:v>72.58251405466541</c:v>
                </c:pt>
                <c:pt idx="67">
                  <c:v>72.157194265356509</c:v>
                </c:pt>
                <c:pt idx="68">
                  <c:v>71.737129584657453</c:v>
                </c:pt>
                <c:pt idx="69">
                  <c:v>71.322223215029055</c:v>
                </c:pt>
                <c:pt idx="70">
                  <c:v>70.91238072173401</c:v>
                </c:pt>
                <c:pt idx="71">
                  <c:v>70.50750996117992</c:v>
                </c:pt>
                <c:pt idx="72">
                  <c:v>70.107521011854502</c:v>
                </c:pt>
                <c:pt idx="73">
                  <c:v>69.71232610774392</c:v>
                </c:pt>
                <c:pt idx="74">
                  <c:v>69.321839574131175</c:v>
                </c:pt>
                <c:pt idx="75">
                  <c:v>68.935977765675332</c:v>
                </c:pt>
                <c:pt idx="76">
                  <c:v>68.554659006678023</c:v>
                </c:pt>
                <c:pt idx="77">
                  <c:v>68.177803533447417</c:v>
                </c:pt>
                <c:pt idx="78">
                  <c:v>67.80533343867431</c:v>
                </c:pt>
                <c:pt idx="79">
                  <c:v>67.437172617738838</c:v>
                </c:pt>
                <c:pt idx="80">
                  <c:v>67.073246716869974</c:v>
                </c:pt>
                <c:pt idx="81">
                  <c:v>66.713483083083887</c:v>
                </c:pt>
                <c:pt idx="82">
                  <c:v>66.357810715830198</c:v>
                </c:pt>
                <c:pt idx="83">
                  <c:v>66.006160220278389</c:v>
                </c:pt>
                <c:pt idx="84">
                  <c:v>65.65846376218019</c:v>
                </c:pt>
                <c:pt idx="85">
                  <c:v>65.314655024246022</c:v>
                </c:pt>
                <c:pt idx="86">
                  <c:v>64.974669163976486</c:v>
                </c:pt>
                <c:pt idx="87">
                  <c:v>64.638442772892915</c:v>
                </c:pt>
                <c:pt idx="88">
                  <c:v>64.305913837112797</c:v>
                </c:pt>
                <c:pt idx="89">
                  <c:v>63.977021699218746</c:v>
                </c:pt>
                <c:pt idx="90">
                  <c:v>63.65170702137182</c:v>
                </c:pt>
                <c:pt idx="91">
                  <c:v>63.329911749621978</c:v>
                </c:pt>
                <c:pt idx="92">
                  <c:v>63.011579079370662</c:v>
                </c:pt>
                <c:pt idx="93">
                  <c:v>62.69665342194218</c:v>
                </c:pt>
                <c:pt idx="94">
                  <c:v>62.385080372222916</c:v>
                </c:pt>
                <c:pt idx="95">
                  <c:v>62.076806677328321</c:v>
                </c:pt>
                <c:pt idx="96">
                  <c:v>61.771780206260367</c:v>
                </c:pt>
                <c:pt idx="97">
                  <c:v>61.469949920518438</c:v>
                </c:pt>
                <c:pt idx="98">
                  <c:v>61.171265845629641</c:v>
                </c:pt>
                <c:pt idx="99">
                  <c:v>60.875679043564467</c:v>
                </c:pt>
                <c:pt idx="100">
                  <c:v>60.583141586006448</c:v>
                </c:pt>
              </c:numCache>
            </c:numRef>
          </c:val>
          <c:smooth val="0"/>
        </c:ser>
        <c:ser>
          <c:idx val="10"/>
          <c:order val="10"/>
          <c:tx>
            <c:v>VIN-nom</c:v>
          </c:tx>
          <c:spPr>
            <a:ln w="28575">
              <a:solidFill>
                <a:srgbClr val="0000FF"/>
              </a:solidFill>
              <a:prstDash val="lgDash"/>
            </a:ln>
          </c:spPr>
          <c:marker>
            <c:symbol val="none"/>
          </c:marker>
          <c:cat>
            <c:numRef>
              <c:f>'Calculations - Dual'!$BZ$5:$BZ$105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11.000000000000002</c:v>
                </c:pt>
                <c:pt idx="12">
                  <c:v>12</c:v>
                </c:pt>
                <c:pt idx="13">
                  <c:v>13</c:v>
                </c:pt>
                <c:pt idx="14">
                  <c:v>14.000000000000002</c:v>
                </c:pt>
                <c:pt idx="15">
                  <c:v>15</c:v>
                </c:pt>
                <c:pt idx="16">
                  <c:v>16</c:v>
                </c:pt>
                <c:pt idx="17">
                  <c:v>17</c:v>
                </c:pt>
                <c:pt idx="18">
                  <c:v>18</c:v>
                </c:pt>
                <c:pt idx="19">
                  <c:v>19</c:v>
                </c:pt>
                <c:pt idx="20">
                  <c:v>20</c:v>
                </c:pt>
                <c:pt idx="21">
                  <c:v>21.000000000000004</c:v>
                </c:pt>
                <c:pt idx="22">
                  <c:v>22.000000000000004</c:v>
                </c:pt>
                <c:pt idx="23">
                  <c:v>23.000000000000004</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42.000000000000007</c:v>
                </c:pt>
                <c:pt idx="43">
                  <c:v>43.000000000000007</c:v>
                </c:pt>
                <c:pt idx="44">
                  <c:v>44.000000000000007</c:v>
                </c:pt>
                <c:pt idx="45">
                  <c:v>45.000000000000007</c:v>
                </c:pt>
                <c:pt idx="46">
                  <c:v>46.000000000000007</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84.000000000000014</c:v>
                </c:pt>
                <c:pt idx="85">
                  <c:v>85.000000000000014</c:v>
                </c:pt>
                <c:pt idx="86">
                  <c:v>86.000000000000014</c:v>
                </c:pt>
                <c:pt idx="87">
                  <c:v>87.000000000000014</c:v>
                </c:pt>
                <c:pt idx="88">
                  <c:v>88.000000000000014</c:v>
                </c:pt>
                <c:pt idx="89">
                  <c:v>89.000000000000014</c:v>
                </c:pt>
                <c:pt idx="90">
                  <c:v>90.000000000000014</c:v>
                </c:pt>
                <c:pt idx="91">
                  <c:v>91.000000000000014</c:v>
                </c:pt>
                <c:pt idx="92">
                  <c:v>92.000000000000014</c:v>
                </c:pt>
                <c:pt idx="93">
                  <c:v>93.000000000000014</c:v>
                </c:pt>
                <c:pt idx="94">
                  <c:v>94</c:v>
                </c:pt>
                <c:pt idx="95">
                  <c:v>95</c:v>
                </c:pt>
                <c:pt idx="96">
                  <c:v>96</c:v>
                </c:pt>
                <c:pt idx="97">
                  <c:v>97</c:v>
                </c:pt>
                <c:pt idx="98">
                  <c:v>98</c:v>
                </c:pt>
                <c:pt idx="99">
                  <c:v>99</c:v>
                </c:pt>
                <c:pt idx="100">
                  <c:v>100</c:v>
                </c:pt>
              </c:numCache>
            </c:numRef>
          </c:cat>
          <c:val>
            <c:numRef>
              <c:f>'Calculations - Dual'!$AM$5:$AM$105</c:f>
              <c:numCache>
                <c:formatCode>0.0</c:formatCode>
                <c:ptCount val="101"/>
                <c:pt idx="0">
                  <c:v>10</c:v>
                </c:pt>
                <c:pt idx="1">
                  <c:v>27.199762187871581</c:v>
                </c:pt>
                <c:pt idx="2">
                  <c:v>54.399524375743162</c:v>
                </c:pt>
                <c:pt idx="3">
                  <c:v>81.599286563614726</c:v>
                </c:pt>
                <c:pt idx="4">
                  <c:v>108.79904875148632</c:v>
                </c:pt>
                <c:pt idx="5">
                  <c:v>135.9988109393579</c:v>
                </c:pt>
                <c:pt idx="6">
                  <c:v>163.19857312722945</c:v>
                </c:pt>
                <c:pt idx="7">
                  <c:v>190.39833531510109</c:v>
                </c:pt>
                <c:pt idx="8">
                  <c:v>217.59809750297265</c:v>
                </c:pt>
                <c:pt idx="9">
                  <c:v>244.79785969084423</c:v>
                </c:pt>
                <c:pt idx="10">
                  <c:v>271.99762187871579</c:v>
                </c:pt>
                <c:pt idx="11">
                  <c:v>299.1973840665874</c:v>
                </c:pt>
                <c:pt idx="12">
                  <c:v>326.3971462544589</c:v>
                </c:pt>
                <c:pt idx="13">
                  <c:v>350</c:v>
                </c:pt>
                <c:pt idx="14">
                  <c:v>350</c:v>
                </c:pt>
                <c:pt idx="15">
                  <c:v>350</c:v>
                </c:pt>
                <c:pt idx="16">
                  <c:v>350</c:v>
                </c:pt>
                <c:pt idx="17">
                  <c:v>350</c:v>
                </c:pt>
                <c:pt idx="18">
                  <c:v>350</c:v>
                </c:pt>
                <c:pt idx="19">
                  <c:v>350</c:v>
                </c:pt>
                <c:pt idx="20">
                  <c:v>350</c:v>
                </c:pt>
                <c:pt idx="21">
                  <c:v>350</c:v>
                </c:pt>
                <c:pt idx="22">
                  <c:v>334.23345408502564</c:v>
                </c:pt>
                <c:pt idx="23">
                  <c:v>319.701564776981</c:v>
                </c:pt>
                <c:pt idx="24">
                  <c:v>306.38066624460686</c:v>
                </c:pt>
                <c:pt idx="25">
                  <c:v>294.12543959482258</c:v>
                </c:pt>
                <c:pt idx="26">
                  <c:v>282.81292268732943</c:v>
                </c:pt>
                <c:pt idx="27">
                  <c:v>272.33836999520605</c:v>
                </c:pt>
                <c:pt idx="28">
                  <c:v>262.61199963823447</c:v>
                </c:pt>
                <c:pt idx="29">
                  <c:v>253.55641344381257</c:v>
                </c:pt>
                <c:pt idx="30">
                  <c:v>245.10453299568553</c:v>
                </c:pt>
                <c:pt idx="31">
                  <c:v>237.1979351571149</c:v>
                </c:pt>
                <c:pt idx="32">
                  <c:v>229.7854996834551</c:v>
                </c:pt>
                <c:pt idx="33">
                  <c:v>222.82230272335045</c:v>
                </c:pt>
                <c:pt idx="34">
                  <c:v>216.26870558442837</c:v>
                </c:pt>
                <c:pt idx="35">
                  <c:v>210.08959971058755</c:v>
                </c:pt>
                <c:pt idx="36">
                  <c:v>204.25377749640455</c:v>
                </c:pt>
                <c:pt idx="37">
                  <c:v>198.73340513163691</c:v>
                </c:pt>
                <c:pt idx="38">
                  <c:v>193.50357868080437</c:v>
                </c:pt>
                <c:pt idx="39">
                  <c:v>188.54194845821957</c:v>
                </c:pt>
                <c:pt idx="40">
                  <c:v>183.82839974676412</c:v>
                </c:pt>
                <c:pt idx="41">
                  <c:v>179.34478024074548</c:v>
                </c:pt>
                <c:pt idx="42">
                  <c:v>175.07466642548962</c:v>
                </c:pt>
                <c:pt idx="43">
                  <c:v>171.00316255512939</c:v>
                </c:pt>
                <c:pt idx="44">
                  <c:v>167.11672704251282</c:v>
                </c:pt>
                <c:pt idx="45">
                  <c:v>163.4030219971236</c:v>
                </c:pt>
                <c:pt idx="46">
                  <c:v>159.8507823884905</c:v>
                </c:pt>
                <c:pt idx="47">
                  <c:v>156.44970191213969</c:v>
                </c:pt>
                <c:pt idx="48">
                  <c:v>153.19033312230343</c:v>
                </c:pt>
                <c:pt idx="49">
                  <c:v>150.06399979327679</c:v>
                </c:pt>
                <c:pt idx="50">
                  <c:v>147.06271979741129</c:v>
                </c:pt>
                <c:pt idx="51">
                  <c:v>144.17913705628558</c:v>
                </c:pt>
                <c:pt idx="52">
                  <c:v>141.40646134366472</c:v>
                </c:pt>
                <c:pt idx="53">
                  <c:v>138.73841490321817</c:v>
                </c:pt>
                <c:pt idx="54">
                  <c:v>136.16918499760303</c:v>
                </c:pt>
                <c:pt idx="55">
                  <c:v>133.69338163401028</c:v>
                </c:pt>
                <c:pt idx="56">
                  <c:v>131.30599981911723</c:v>
                </c:pt>
                <c:pt idx="57">
                  <c:v>129.00238578720288</c:v>
                </c:pt>
                <c:pt idx="58">
                  <c:v>126.77820672190629</c:v>
                </c:pt>
                <c:pt idx="59">
                  <c:v>124.62942355712821</c:v>
                </c:pt>
                <c:pt idx="60">
                  <c:v>122.55226649784277</c:v>
                </c:pt>
                <c:pt idx="61">
                  <c:v>120.5432129486978</c:v>
                </c:pt>
                <c:pt idx="62">
                  <c:v>118.59896757855745</c:v>
                </c:pt>
                <c:pt idx="63">
                  <c:v>116.71644428365977</c:v>
                </c:pt>
                <c:pt idx="64">
                  <c:v>115.39752144821379</c:v>
                </c:pt>
                <c:pt idx="65">
                  <c:v>114.61878047373666</c:v>
                </c:pt>
                <c:pt idx="66">
                  <c:v>113.85087320122068</c:v>
                </c:pt>
                <c:pt idx="67">
                  <c:v>113.09357511763859</c:v>
                </c:pt>
                <c:pt idx="68">
                  <c:v>112.34666787101989</c:v>
                </c:pt>
                <c:pt idx="69">
                  <c:v>111.60993906055232</c:v>
                </c:pt>
                <c:pt idx="70">
                  <c:v>110.88318203520618</c:v>
                </c:pt>
                <c:pt idx="71">
                  <c:v>110.16619570048096</c:v>
                </c:pt>
                <c:pt idx="72">
                  <c:v>109.45878433289404</c:v>
                </c:pt>
                <c:pt idx="73">
                  <c:v>108.76075740185246</c:v>
                </c:pt>
                <c:pt idx="74">
                  <c:v>108.07192939856716</c:v>
                </c:pt>
                <c:pt idx="75">
                  <c:v>107.39211967168676</c:v>
                </c:pt>
                <c:pt idx="76">
                  <c:v>106.72115226934496</c:v>
                </c:pt>
                <c:pt idx="77">
                  <c:v>106.05885578733198</c:v>
                </c:pt>
                <c:pt idx="78">
                  <c:v>105.40506322311421</c:v>
                </c:pt>
                <c:pt idx="79">
                  <c:v>104.75961183544109</c:v>
                </c:pt>
                <c:pt idx="80">
                  <c:v>104.12234300929168</c:v>
                </c:pt>
                <c:pt idx="81">
                  <c:v>103.49310212592493</c:v>
                </c:pt>
                <c:pt idx="82">
                  <c:v>102.87173843781054</c:v>
                </c:pt>
                <c:pt idx="83">
                  <c:v>102.25810494822741</c:v>
                </c:pt>
                <c:pt idx="84">
                  <c:v>101.65205829532812</c:v>
                </c:pt>
                <c:pt idx="85">
                  <c:v>101.05345864047723</c:v>
                </c:pt>
                <c:pt idx="86">
                  <c:v>100.46216956068054</c:v>
                </c:pt>
                <c:pt idx="87">
                  <c:v>99.878057944931754</c:v>
                </c:pt>
                <c:pt idx="88">
                  <c:v>99.300993894310935</c:v>
                </c:pt>
                <c:pt idx="89">
                  <c:v>98.730850625677434</c:v>
                </c:pt>
                <c:pt idx="90">
                  <c:v>98.167504378807223</c:v>
                </c:pt>
                <c:pt idx="91">
                  <c:v>97.610834326831565</c:v>
                </c:pt>
                <c:pt idx="92">
                  <c:v>97.060722489841453</c:v>
                </c:pt>
                <c:pt idx="93">
                  <c:v>96.517053651527306</c:v>
                </c:pt>
                <c:pt idx="94">
                  <c:v>95.979715278730851</c:v>
                </c:pt>
                <c:pt idx="95">
                  <c:v>95.448597443790888</c:v>
                </c:pt>
                <c:pt idx="96">
                  <c:v>94.923592749570389</c:v>
                </c:pt>
                <c:pt idx="97">
                  <c:v>94.404596257057591</c:v>
                </c:pt>
                <c:pt idx="98">
                  <c:v>93.891505415438729</c:v>
                </c:pt>
                <c:pt idx="99">
                  <c:v>93.38421999454404</c:v>
                </c:pt>
                <c:pt idx="100">
                  <c:v>92.882642019574249</c:v>
                </c:pt>
              </c:numCache>
            </c:numRef>
          </c:val>
          <c:smooth val="0"/>
        </c:ser>
        <c:ser>
          <c:idx val="11"/>
          <c:order val="11"/>
          <c:tx>
            <c:v>VIN-max</c:v>
          </c:tx>
          <c:spPr>
            <a:ln>
              <a:solidFill>
                <a:srgbClr val="FF0000"/>
              </a:solidFill>
              <a:prstDash val="solid"/>
            </a:ln>
          </c:spPr>
          <c:marker>
            <c:symbol val="none"/>
          </c:marker>
          <c:cat>
            <c:numRef>
              <c:f>'Calculations - Dual'!$BZ$5:$BZ$105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11.000000000000002</c:v>
                </c:pt>
                <c:pt idx="12">
                  <c:v>12</c:v>
                </c:pt>
                <c:pt idx="13">
                  <c:v>13</c:v>
                </c:pt>
                <c:pt idx="14">
                  <c:v>14.000000000000002</c:v>
                </c:pt>
                <c:pt idx="15">
                  <c:v>15</c:v>
                </c:pt>
                <c:pt idx="16">
                  <c:v>16</c:v>
                </c:pt>
                <c:pt idx="17">
                  <c:v>17</c:v>
                </c:pt>
                <c:pt idx="18">
                  <c:v>18</c:v>
                </c:pt>
                <c:pt idx="19">
                  <c:v>19</c:v>
                </c:pt>
                <c:pt idx="20">
                  <c:v>20</c:v>
                </c:pt>
                <c:pt idx="21">
                  <c:v>21.000000000000004</c:v>
                </c:pt>
                <c:pt idx="22">
                  <c:v>22.000000000000004</c:v>
                </c:pt>
                <c:pt idx="23">
                  <c:v>23.000000000000004</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42.000000000000007</c:v>
                </c:pt>
                <c:pt idx="43">
                  <c:v>43.000000000000007</c:v>
                </c:pt>
                <c:pt idx="44">
                  <c:v>44.000000000000007</c:v>
                </c:pt>
                <c:pt idx="45">
                  <c:v>45.000000000000007</c:v>
                </c:pt>
                <c:pt idx="46">
                  <c:v>46.000000000000007</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84.000000000000014</c:v>
                </c:pt>
                <c:pt idx="85">
                  <c:v>85.000000000000014</c:v>
                </c:pt>
                <c:pt idx="86">
                  <c:v>86.000000000000014</c:v>
                </c:pt>
                <c:pt idx="87">
                  <c:v>87.000000000000014</c:v>
                </c:pt>
                <c:pt idx="88">
                  <c:v>88.000000000000014</c:v>
                </c:pt>
                <c:pt idx="89">
                  <c:v>89.000000000000014</c:v>
                </c:pt>
                <c:pt idx="90">
                  <c:v>90.000000000000014</c:v>
                </c:pt>
                <c:pt idx="91">
                  <c:v>91.000000000000014</c:v>
                </c:pt>
                <c:pt idx="92">
                  <c:v>92.000000000000014</c:v>
                </c:pt>
                <c:pt idx="93">
                  <c:v>93.000000000000014</c:v>
                </c:pt>
                <c:pt idx="94">
                  <c:v>94</c:v>
                </c:pt>
                <c:pt idx="95">
                  <c:v>95</c:v>
                </c:pt>
                <c:pt idx="96">
                  <c:v>96</c:v>
                </c:pt>
                <c:pt idx="97">
                  <c:v>97</c:v>
                </c:pt>
                <c:pt idx="98">
                  <c:v>98</c:v>
                </c:pt>
                <c:pt idx="99">
                  <c:v>99</c:v>
                </c:pt>
                <c:pt idx="100">
                  <c:v>100</c:v>
                </c:pt>
              </c:numCache>
            </c:numRef>
          </c:cat>
          <c:val>
            <c:numRef>
              <c:f>'Calculations - Dual'!$AM$216:$AM$316</c:f>
              <c:numCache>
                <c:formatCode>0.0</c:formatCode>
                <c:ptCount val="101"/>
                <c:pt idx="0">
                  <c:v>10</c:v>
                </c:pt>
                <c:pt idx="1">
                  <c:v>27.199762187871581</c:v>
                </c:pt>
                <c:pt idx="2">
                  <c:v>54.399524375743162</c:v>
                </c:pt>
                <c:pt idx="3">
                  <c:v>81.599286563614726</c:v>
                </c:pt>
                <c:pt idx="4">
                  <c:v>108.79904875148632</c:v>
                </c:pt>
                <c:pt idx="5">
                  <c:v>135.9988109393579</c:v>
                </c:pt>
                <c:pt idx="6">
                  <c:v>163.19857312722945</c:v>
                </c:pt>
                <c:pt idx="7">
                  <c:v>190.39833531510109</c:v>
                </c:pt>
                <c:pt idx="8">
                  <c:v>217.59809750297265</c:v>
                </c:pt>
                <c:pt idx="9">
                  <c:v>244.79785969084423</c:v>
                </c:pt>
                <c:pt idx="10">
                  <c:v>271.99762187871579</c:v>
                </c:pt>
                <c:pt idx="11">
                  <c:v>299.1973840665874</c:v>
                </c:pt>
                <c:pt idx="12">
                  <c:v>326.3971462544589</c:v>
                </c:pt>
                <c:pt idx="13">
                  <c:v>350</c:v>
                </c:pt>
                <c:pt idx="14">
                  <c:v>350</c:v>
                </c:pt>
                <c:pt idx="15">
                  <c:v>350</c:v>
                </c:pt>
                <c:pt idx="16">
                  <c:v>350</c:v>
                </c:pt>
                <c:pt idx="17">
                  <c:v>350</c:v>
                </c:pt>
                <c:pt idx="18">
                  <c:v>350</c:v>
                </c:pt>
                <c:pt idx="19">
                  <c:v>350</c:v>
                </c:pt>
                <c:pt idx="20">
                  <c:v>350</c:v>
                </c:pt>
                <c:pt idx="21">
                  <c:v>350</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345.78203319246984</c:v>
                </c:pt>
                <c:pt idx="42">
                  <c:v>337.54912764026807</c:v>
                </c:pt>
                <c:pt idx="43">
                  <c:v>329.69914792770373</c:v>
                </c:pt>
                <c:pt idx="44">
                  <c:v>322.20598547480142</c:v>
                </c:pt>
                <c:pt idx="45">
                  <c:v>315.04585246425023</c:v>
                </c:pt>
                <c:pt idx="46">
                  <c:v>308.1970295845926</c:v>
                </c:pt>
                <c:pt idx="47">
                  <c:v>301.63964597640984</c:v>
                </c:pt>
                <c:pt idx="48">
                  <c:v>295.35548668523472</c:v>
                </c:pt>
                <c:pt idx="49">
                  <c:v>289.32782369165841</c:v>
                </c:pt>
                <c:pt idx="50">
                  <c:v>283.54126721782518</c:v>
                </c:pt>
                <c:pt idx="51">
                  <c:v>277.9816345272796</c:v>
                </c:pt>
                <c:pt idx="52">
                  <c:v>272.6358338632935</c:v>
                </c:pt>
                <c:pt idx="53">
                  <c:v>267.49176152625023</c:v>
                </c:pt>
                <c:pt idx="54">
                  <c:v>262.53821038687522</c:v>
                </c:pt>
                <c:pt idx="55">
                  <c:v>257.76478837984109</c:v>
                </c:pt>
                <c:pt idx="56">
                  <c:v>253.16184573020112</c:v>
                </c:pt>
                <c:pt idx="57">
                  <c:v>248.72040984019762</c:v>
                </c:pt>
                <c:pt idx="58">
                  <c:v>244.43212691191832</c:v>
                </c:pt>
                <c:pt idx="59">
                  <c:v>240.28920950663155</c:v>
                </c:pt>
                <c:pt idx="60">
                  <c:v>236.28438934818772</c:v>
                </c:pt>
                <c:pt idx="61">
                  <c:v>232.41087476870922</c:v>
                </c:pt>
                <c:pt idx="62">
                  <c:v>228.66231227243966</c:v>
                </c:pt>
                <c:pt idx="63">
                  <c:v>225.0327517601788</c:v>
                </c:pt>
                <c:pt idx="64">
                  <c:v>221.5166150139259</c:v>
                </c:pt>
                <c:pt idx="65">
                  <c:v>218.10866709063478</c:v>
                </c:pt>
                <c:pt idx="66">
                  <c:v>214.80399031653431</c:v>
                </c:pt>
                <c:pt idx="67">
                  <c:v>211.59796061031733</c:v>
                </c:pt>
                <c:pt idx="68">
                  <c:v>208.48622589545974</c:v>
                </c:pt>
                <c:pt idx="69">
                  <c:v>205.4646863897284</c:v>
                </c:pt>
                <c:pt idx="70">
                  <c:v>202.52947658416088</c:v>
                </c:pt>
                <c:pt idx="71">
                  <c:v>199.67694874494731</c:v>
                </c:pt>
                <c:pt idx="72">
                  <c:v>196.90365779015639</c:v>
                </c:pt>
                <c:pt idx="73">
                  <c:v>194.20634740946934</c:v>
                </c:pt>
                <c:pt idx="74">
                  <c:v>191.58193730934141</c:v>
                </c:pt>
                <c:pt idx="75">
                  <c:v>189.02751147855017</c:v>
                </c:pt>
                <c:pt idx="76">
                  <c:v>186.54030738014822</c:v>
                </c:pt>
                <c:pt idx="77">
                  <c:v>184.11770598560082</c:v>
                </c:pt>
                <c:pt idx="78">
                  <c:v>181.75722257552897</c:v>
                </c:pt>
                <c:pt idx="79">
                  <c:v>179.45649823912987</c:v>
                </c:pt>
                <c:pt idx="80">
                  <c:v>177.21329201114077</c:v>
                </c:pt>
                <c:pt idx="81">
                  <c:v>175.02547359125012</c:v>
                </c:pt>
                <c:pt idx="82">
                  <c:v>172.89101659623492</c:v>
                </c:pt>
                <c:pt idx="83">
                  <c:v>170.80799229989475</c:v>
                </c:pt>
                <c:pt idx="84">
                  <c:v>168.77456382013403</c:v>
                </c:pt>
                <c:pt idx="85">
                  <c:v>166.78898071636777</c:v>
                </c:pt>
                <c:pt idx="86">
                  <c:v>164.84957396385187</c:v>
                </c:pt>
                <c:pt idx="87">
                  <c:v>162.95475127461216</c:v>
                </c:pt>
                <c:pt idx="88">
                  <c:v>161.10299273740071</c:v>
                </c:pt>
                <c:pt idx="89">
                  <c:v>159.87967798367487</c:v>
                </c:pt>
                <c:pt idx="90">
                  <c:v>158.80309893493649</c:v>
                </c:pt>
                <c:pt idx="91">
                  <c:v>157.74131368118847</c:v>
                </c:pt>
                <c:pt idx="92">
                  <c:v>156.69401937017983</c:v>
                </c:pt>
                <c:pt idx="93">
                  <c:v>155.66092136011505</c:v>
                </c:pt>
                <c:pt idx="94">
                  <c:v>154.64173294329129</c:v>
                </c:pt>
                <c:pt idx="95">
                  <c:v>153.63617508082268</c:v>
                </c:pt>
                <c:pt idx="96">
                  <c:v>152.64397614793876</c:v>
                </c:pt>
                <c:pt idx="97">
                  <c:v>151.66487168936567</c:v>
                </c:pt>
                <c:pt idx="98">
                  <c:v>150.69860418433001</c:v>
                </c:pt>
                <c:pt idx="99">
                  <c:v>149.74492282074479</c:v>
                </c:pt>
                <c:pt idx="100">
                  <c:v>148.80358327816262</c:v>
                </c:pt>
              </c:numCache>
            </c:numRef>
          </c:val>
          <c:smooth val="0"/>
        </c:ser>
        <c:ser>
          <c:idx val="12"/>
          <c:order val="12"/>
          <c:spPr>
            <a:ln>
              <a:noFill/>
            </a:ln>
          </c:spPr>
          <c:marker>
            <c:symbol val="none"/>
          </c:marker>
          <c:cat>
            <c:numRef>
              <c:f>'Calculations - Dual'!$BZ$5:$BZ$105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11.000000000000002</c:v>
                </c:pt>
                <c:pt idx="12">
                  <c:v>12</c:v>
                </c:pt>
                <c:pt idx="13">
                  <c:v>13</c:v>
                </c:pt>
                <c:pt idx="14">
                  <c:v>14.000000000000002</c:v>
                </c:pt>
                <c:pt idx="15">
                  <c:v>15</c:v>
                </c:pt>
                <c:pt idx="16">
                  <c:v>16</c:v>
                </c:pt>
                <c:pt idx="17">
                  <c:v>17</c:v>
                </c:pt>
                <c:pt idx="18">
                  <c:v>18</c:v>
                </c:pt>
                <c:pt idx="19">
                  <c:v>19</c:v>
                </c:pt>
                <c:pt idx="20">
                  <c:v>20</c:v>
                </c:pt>
                <c:pt idx="21">
                  <c:v>21.000000000000004</c:v>
                </c:pt>
                <c:pt idx="22">
                  <c:v>22.000000000000004</c:v>
                </c:pt>
                <c:pt idx="23">
                  <c:v>23.000000000000004</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42.000000000000007</c:v>
                </c:pt>
                <c:pt idx="43">
                  <c:v>43.000000000000007</c:v>
                </c:pt>
                <c:pt idx="44">
                  <c:v>44.000000000000007</c:v>
                </c:pt>
                <c:pt idx="45">
                  <c:v>45.000000000000007</c:v>
                </c:pt>
                <c:pt idx="46">
                  <c:v>46.000000000000007</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84.000000000000014</c:v>
                </c:pt>
                <c:pt idx="85">
                  <c:v>85.000000000000014</c:v>
                </c:pt>
                <c:pt idx="86">
                  <c:v>86.000000000000014</c:v>
                </c:pt>
                <c:pt idx="87">
                  <c:v>87.000000000000014</c:v>
                </c:pt>
                <c:pt idx="88">
                  <c:v>88.000000000000014</c:v>
                </c:pt>
                <c:pt idx="89">
                  <c:v>89.000000000000014</c:v>
                </c:pt>
                <c:pt idx="90">
                  <c:v>90.000000000000014</c:v>
                </c:pt>
                <c:pt idx="91">
                  <c:v>91.000000000000014</c:v>
                </c:pt>
                <c:pt idx="92">
                  <c:v>92.000000000000014</c:v>
                </c:pt>
                <c:pt idx="93">
                  <c:v>93.000000000000014</c:v>
                </c:pt>
                <c:pt idx="94">
                  <c:v>94</c:v>
                </c:pt>
                <c:pt idx="95">
                  <c:v>95</c:v>
                </c:pt>
                <c:pt idx="96">
                  <c:v>96</c:v>
                </c:pt>
                <c:pt idx="97">
                  <c:v>97</c:v>
                </c:pt>
                <c:pt idx="98">
                  <c:v>98</c:v>
                </c:pt>
                <c:pt idx="99">
                  <c:v>99</c:v>
                </c:pt>
                <c:pt idx="100">
                  <c:v>100</c:v>
                </c:pt>
              </c:numCache>
            </c:numRef>
          </c:cat>
          <c:val>
            <c:numRef>
              <c:f>'Calculations - Dual'!$CB$110:$CB$210</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83.400116000578166</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ser>
        <c:ser>
          <c:idx val="13"/>
          <c:order val="13"/>
          <c:spPr>
            <a:ln>
              <a:noFill/>
            </a:ln>
          </c:spPr>
          <c:marker>
            <c:symbol val="none"/>
          </c:marker>
          <c:cat>
            <c:numRef>
              <c:f>'Calculations - Dual'!$BZ$5:$BZ$105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11.000000000000002</c:v>
                </c:pt>
                <c:pt idx="12">
                  <c:v>12</c:v>
                </c:pt>
                <c:pt idx="13">
                  <c:v>13</c:v>
                </c:pt>
                <c:pt idx="14">
                  <c:v>14.000000000000002</c:v>
                </c:pt>
                <c:pt idx="15">
                  <c:v>15</c:v>
                </c:pt>
                <c:pt idx="16">
                  <c:v>16</c:v>
                </c:pt>
                <c:pt idx="17">
                  <c:v>17</c:v>
                </c:pt>
                <c:pt idx="18">
                  <c:v>18</c:v>
                </c:pt>
                <c:pt idx="19">
                  <c:v>19</c:v>
                </c:pt>
                <c:pt idx="20">
                  <c:v>20</c:v>
                </c:pt>
                <c:pt idx="21">
                  <c:v>21.000000000000004</c:v>
                </c:pt>
                <c:pt idx="22">
                  <c:v>22.000000000000004</c:v>
                </c:pt>
                <c:pt idx="23">
                  <c:v>23.000000000000004</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42.000000000000007</c:v>
                </c:pt>
                <c:pt idx="43">
                  <c:v>43.000000000000007</c:v>
                </c:pt>
                <c:pt idx="44">
                  <c:v>44.000000000000007</c:v>
                </c:pt>
                <c:pt idx="45">
                  <c:v>45.000000000000007</c:v>
                </c:pt>
                <c:pt idx="46">
                  <c:v>46.000000000000007</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84.000000000000014</c:v>
                </c:pt>
                <c:pt idx="85">
                  <c:v>85.000000000000014</c:v>
                </c:pt>
                <c:pt idx="86">
                  <c:v>86.000000000000014</c:v>
                </c:pt>
                <c:pt idx="87">
                  <c:v>87.000000000000014</c:v>
                </c:pt>
                <c:pt idx="88">
                  <c:v>88.000000000000014</c:v>
                </c:pt>
                <c:pt idx="89">
                  <c:v>89.000000000000014</c:v>
                </c:pt>
                <c:pt idx="90">
                  <c:v>90.000000000000014</c:v>
                </c:pt>
                <c:pt idx="91">
                  <c:v>91.000000000000014</c:v>
                </c:pt>
                <c:pt idx="92">
                  <c:v>92.000000000000014</c:v>
                </c:pt>
                <c:pt idx="93">
                  <c:v>93.000000000000014</c:v>
                </c:pt>
                <c:pt idx="94">
                  <c:v>94</c:v>
                </c:pt>
                <c:pt idx="95">
                  <c:v>95</c:v>
                </c:pt>
                <c:pt idx="96">
                  <c:v>96</c:v>
                </c:pt>
                <c:pt idx="97">
                  <c:v>97</c:v>
                </c:pt>
                <c:pt idx="98">
                  <c:v>98</c:v>
                </c:pt>
                <c:pt idx="99">
                  <c:v>99</c:v>
                </c:pt>
                <c:pt idx="100">
                  <c:v>100</c:v>
                </c:pt>
              </c:numCache>
            </c:numRef>
          </c:cat>
          <c:val>
            <c:numRef>
              <c:f>'Calculations - Dual'!$CB$5:$CB$105</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94.404596257057591</c:v>
                </c:pt>
                <c:pt idx="98">
                  <c:v>-50</c:v>
                </c:pt>
                <c:pt idx="99">
                  <c:v>-50</c:v>
                </c:pt>
                <c:pt idx="100">
                  <c:v>-50</c:v>
                </c:pt>
              </c:numCache>
            </c:numRef>
          </c:val>
          <c:smooth val="0"/>
        </c:ser>
        <c:ser>
          <c:idx val="14"/>
          <c:order val="14"/>
          <c:spPr>
            <a:ln>
              <a:noFill/>
            </a:ln>
          </c:spPr>
          <c:marker>
            <c:symbol val="none"/>
          </c:marker>
          <c:cat>
            <c:numRef>
              <c:f>'Calculations - Dual'!$BZ$5:$BZ$105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11.000000000000002</c:v>
                </c:pt>
                <c:pt idx="12">
                  <c:v>12</c:v>
                </c:pt>
                <c:pt idx="13">
                  <c:v>13</c:v>
                </c:pt>
                <c:pt idx="14">
                  <c:v>14.000000000000002</c:v>
                </c:pt>
                <c:pt idx="15">
                  <c:v>15</c:v>
                </c:pt>
                <c:pt idx="16">
                  <c:v>16</c:v>
                </c:pt>
                <c:pt idx="17">
                  <c:v>17</c:v>
                </c:pt>
                <c:pt idx="18">
                  <c:v>18</c:v>
                </c:pt>
                <c:pt idx="19">
                  <c:v>19</c:v>
                </c:pt>
                <c:pt idx="20">
                  <c:v>20</c:v>
                </c:pt>
                <c:pt idx="21">
                  <c:v>21.000000000000004</c:v>
                </c:pt>
                <c:pt idx="22">
                  <c:v>22.000000000000004</c:v>
                </c:pt>
                <c:pt idx="23">
                  <c:v>23.000000000000004</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42.000000000000007</c:v>
                </c:pt>
                <c:pt idx="43">
                  <c:v>43.000000000000007</c:v>
                </c:pt>
                <c:pt idx="44">
                  <c:v>44.000000000000007</c:v>
                </c:pt>
                <c:pt idx="45">
                  <c:v>45.000000000000007</c:v>
                </c:pt>
                <c:pt idx="46">
                  <c:v>46.000000000000007</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84.000000000000014</c:v>
                </c:pt>
                <c:pt idx="85">
                  <c:v>85.000000000000014</c:v>
                </c:pt>
                <c:pt idx="86">
                  <c:v>86.000000000000014</c:v>
                </c:pt>
                <c:pt idx="87">
                  <c:v>87.000000000000014</c:v>
                </c:pt>
                <c:pt idx="88">
                  <c:v>88.000000000000014</c:v>
                </c:pt>
                <c:pt idx="89">
                  <c:v>89.000000000000014</c:v>
                </c:pt>
                <c:pt idx="90">
                  <c:v>90.000000000000014</c:v>
                </c:pt>
                <c:pt idx="91">
                  <c:v>91.000000000000014</c:v>
                </c:pt>
                <c:pt idx="92">
                  <c:v>92.000000000000014</c:v>
                </c:pt>
                <c:pt idx="93">
                  <c:v>93.000000000000014</c:v>
                </c:pt>
                <c:pt idx="94">
                  <c:v>94</c:v>
                </c:pt>
                <c:pt idx="95">
                  <c:v>95</c:v>
                </c:pt>
                <c:pt idx="96">
                  <c:v>96</c:v>
                </c:pt>
                <c:pt idx="97">
                  <c:v>97</c:v>
                </c:pt>
                <c:pt idx="98">
                  <c:v>98</c:v>
                </c:pt>
                <c:pt idx="99">
                  <c:v>99</c:v>
                </c:pt>
                <c:pt idx="100">
                  <c:v>100</c:v>
                </c:pt>
              </c:numCache>
            </c:numRef>
          </c:cat>
          <c:val>
            <c:numRef>
              <c:f>'Calculations - Dual'!$CB$216:$CB$316</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161.10299273740071</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ser>
        <c:ser>
          <c:idx val="15"/>
          <c:order val="15"/>
          <c:tx>
            <c:v>D1</c:v>
          </c:tx>
          <c:spPr>
            <a:ln w="25400">
              <a:solidFill>
                <a:srgbClr val="0000FF"/>
              </a:solidFill>
              <a:prstDash val="lgDash"/>
            </a:ln>
          </c:spPr>
          <c:marker>
            <c:symbol val="none"/>
          </c:marker>
          <c:val>
            <c:numRef>
              <c:f>'Calculations - Dual'!$AU$5:$AU$105</c:f>
              <c:numCache>
                <c:formatCode>0.000</c:formatCode>
                <c:ptCount val="101"/>
                <c:pt idx="0">
                  <c:v>9.6666666666666672E-3</c:v>
                </c:pt>
                <c:pt idx="1">
                  <c:v>2.6293103448275866E-2</c:v>
                </c:pt>
                <c:pt idx="2">
                  <c:v>5.2586206896551732E-2</c:v>
                </c:pt>
                <c:pt idx="3">
                  <c:v>7.8879310344827563E-2</c:v>
                </c:pt>
                <c:pt idx="4">
                  <c:v>0.10517241379310346</c:v>
                </c:pt>
                <c:pt idx="5">
                  <c:v>0.13146551724137931</c:v>
                </c:pt>
                <c:pt idx="6">
                  <c:v>0.15775862068965513</c:v>
                </c:pt>
                <c:pt idx="7">
                  <c:v>0.18405172413793108</c:v>
                </c:pt>
                <c:pt idx="8">
                  <c:v>0.21034482758620693</c:v>
                </c:pt>
                <c:pt idx="9">
                  <c:v>0.243043013698518</c:v>
                </c:pt>
                <c:pt idx="10">
                  <c:v>0.28465536765882254</c:v>
                </c:pt>
                <c:pt idx="11">
                  <c:v>0.32840397510767078</c:v>
                </c:pt>
                <c:pt idx="12">
                  <c:v>0.37418919835599251</c:v>
                </c:pt>
                <c:pt idx="13">
                  <c:v>0.41763221459397337</c:v>
                </c:pt>
                <c:pt idx="14">
                  <c:v>0.43339743115682322</c:v>
                </c:pt>
                <c:pt idx="15">
                  <c:v>0.44860896112315896</c:v>
                </c:pt>
                <c:pt idx="16">
                  <c:v>0.46332134277050807</c:v>
                </c:pt>
                <c:pt idx="17">
                  <c:v>0.47758070871145258</c:v>
                </c:pt>
                <c:pt idx="18">
                  <c:v>0.49142649501222457</c:v>
                </c:pt>
                <c:pt idx="19">
                  <c:v>0.5048927278805535</c:v>
                </c:pt>
                <c:pt idx="20">
                  <c:v>0.51800900893066837</c:v>
                </c:pt>
                <c:pt idx="21">
                  <c:v>0.53080128108360858</c:v>
                </c:pt>
                <c:pt idx="22">
                  <c:v>0.51881858892873667</c:v>
                </c:pt>
                <c:pt idx="23">
                  <c:v>0.50741458997704258</c:v>
                </c:pt>
                <c:pt idx="24">
                  <c:v>0.49673098104826463</c:v>
                </c:pt>
                <c:pt idx="25">
                  <c:v>0.48669497720013993</c:v>
                </c:pt>
                <c:pt idx="26">
                  <c:v>0.47724368959829022</c:v>
                </c:pt>
                <c:pt idx="27">
                  <c:v>0.46832246016623258</c:v>
                </c:pt>
                <c:pt idx="28">
                  <c:v>0.45988352643422187</c:v>
                </c:pt>
                <c:pt idx="29">
                  <c:v>0.45188494190126266</c:v>
                </c:pt>
                <c:pt idx="30">
                  <c:v>0.44428969606163188</c:v>
                </c:pt>
                <c:pt idx="31">
                  <c:v>0.43706499187472708</c:v>
                </c:pt>
                <c:pt idx="32">
                  <c:v>0.4301816484345638</c:v>
                </c:pt>
                <c:pt idx="33">
                  <c:v>0.42361360398206083</c:v>
                </c:pt>
                <c:pt idx="34">
                  <c:v>0.41733749992894792</c:v>
                </c:pt>
                <c:pt idx="35">
                  <c:v>0.41133233073569658</c:v>
                </c:pt>
                <c:pt idx="36">
                  <c:v>0.55963302752293587</c:v>
                </c:pt>
                <c:pt idx="37">
                  <c:v>0.55963302752293576</c:v>
                </c:pt>
                <c:pt idx="38">
                  <c:v>0.55963302752293576</c:v>
                </c:pt>
                <c:pt idx="39">
                  <c:v>0.55963302752293576</c:v>
                </c:pt>
                <c:pt idx="40">
                  <c:v>0.55963302752293576</c:v>
                </c:pt>
                <c:pt idx="41">
                  <c:v>0.55963302752293576</c:v>
                </c:pt>
                <c:pt idx="42">
                  <c:v>0.55963302752293587</c:v>
                </c:pt>
                <c:pt idx="43">
                  <c:v>0.55963302752293576</c:v>
                </c:pt>
                <c:pt idx="44">
                  <c:v>0.55963302752293587</c:v>
                </c:pt>
                <c:pt idx="45">
                  <c:v>0.55963302752293576</c:v>
                </c:pt>
                <c:pt idx="46">
                  <c:v>0.55963302752293576</c:v>
                </c:pt>
                <c:pt idx="47">
                  <c:v>0.55963302752293576</c:v>
                </c:pt>
                <c:pt idx="48">
                  <c:v>0.55963302752293576</c:v>
                </c:pt>
                <c:pt idx="49">
                  <c:v>0.55963302752293576</c:v>
                </c:pt>
                <c:pt idx="50">
                  <c:v>0.55963302752293576</c:v>
                </c:pt>
                <c:pt idx="51">
                  <c:v>0.55963302752293576</c:v>
                </c:pt>
                <c:pt idx="52">
                  <c:v>0.55963302752293576</c:v>
                </c:pt>
                <c:pt idx="53">
                  <c:v>0.55963302752293576</c:v>
                </c:pt>
                <c:pt idx="54">
                  <c:v>0.55963302752293576</c:v>
                </c:pt>
                <c:pt idx="55">
                  <c:v>0.55963302752293587</c:v>
                </c:pt>
                <c:pt idx="56">
                  <c:v>0.55963302752293587</c:v>
                </c:pt>
                <c:pt idx="57">
                  <c:v>0.55963302752293576</c:v>
                </c:pt>
                <c:pt idx="58">
                  <c:v>0.55963302752293576</c:v>
                </c:pt>
                <c:pt idx="59">
                  <c:v>0.55963302752293564</c:v>
                </c:pt>
                <c:pt idx="60">
                  <c:v>0.55963302752293587</c:v>
                </c:pt>
                <c:pt idx="61">
                  <c:v>0.55963302752293587</c:v>
                </c:pt>
                <c:pt idx="62">
                  <c:v>0.55963302752293564</c:v>
                </c:pt>
                <c:pt idx="63">
                  <c:v>0.55963302752293587</c:v>
                </c:pt>
                <c:pt idx="64">
                  <c:v>0.55775468699969999</c:v>
                </c:pt>
                <c:pt idx="65">
                  <c:v>0.55399077228972715</c:v>
                </c:pt>
                <c:pt idx="66">
                  <c:v>0.5502792204725665</c:v>
                </c:pt>
                <c:pt idx="67">
                  <c:v>0.54661894640191977</c:v>
                </c:pt>
                <c:pt idx="68">
                  <c:v>0.54300889470992941</c:v>
                </c:pt>
                <c:pt idx="69">
                  <c:v>0.53944803879266956</c:v>
                </c:pt>
                <c:pt idx="70">
                  <c:v>0.53593537983682982</c:v>
                </c:pt>
                <c:pt idx="71">
                  <c:v>0.53246994588565799</c:v>
                </c:pt>
                <c:pt idx="72">
                  <c:v>0.52905079094232121</c:v>
                </c:pt>
                <c:pt idx="73">
                  <c:v>0.52567699410895352</c:v>
                </c:pt>
                <c:pt idx="74">
                  <c:v>0.52234765875974121</c:v>
                </c:pt>
                <c:pt idx="75">
                  <c:v>0.51906191174648597</c:v>
                </c:pt>
                <c:pt idx="76">
                  <c:v>0.51581890263516728</c:v>
                </c:pt>
                <c:pt idx="77">
                  <c:v>0.51261780297210457</c:v>
                </c:pt>
                <c:pt idx="78">
                  <c:v>0.50945780557838527</c:v>
                </c:pt>
                <c:pt idx="79">
                  <c:v>0.50633812387129862</c:v>
                </c:pt>
                <c:pt idx="80">
                  <c:v>0.50325799121157644</c:v>
                </c:pt>
                <c:pt idx="81">
                  <c:v>0.50021666027530376</c:v>
                </c:pt>
                <c:pt idx="82">
                  <c:v>0.49721340244941759</c:v>
                </c:pt>
                <c:pt idx="83">
                  <c:v>0.49424750724976574</c:v>
                </c:pt>
                <c:pt idx="84">
                  <c:v>0.49131828176075254</c:v>
                </c:pt>
                <c:pt idx="85">
                  <c:v>0.48842505009563991</c:v>
                </c:pt>
                <c:pt idx="86">
                  <c:v>0.48556715287662255</c:v>
                </c:pt>
                <c:pt idx="87">
                  <c:v>0.48274394673383686</c:v>
                </c:pt>
                <c:pt idx="88">
                  <c:v>0.47995480382250283</c:v>
                </c:pt>
                <c:pt idx="89">
                  <c:v>0.47719911135744086</c:v>
                </c:pt>
                <c:pt idx="90">
                  <c:v>0.47447627116423485</c:v>
                </c:pt>
                <c:pt idx="91">
                  <c:v>0.47178569924635255</c:v>
                </c:pt>
                <c:pt idx="92">
                  <c:v>0.46912682536756695</c:v>
                </c:pt>
                <c:pt idx="93">
                  <c:v>0.4664990926490486</c:v>
                </c:pt>
                <c:pt idx="94">
                  <c:v>0.46390195718053245</c:v>
                </c:pt>
                <c:pt idx="95">
                  <c:v>0.46133488764498931</c:v>
                </c:pt>
                <c:pt idx="96">
                  <c:v>0.45879736495625684</c:v>
                </c:pt>
                <c:pt idx="97">
                  <c:v>0.45628888190911171</c:v>
                </c:pt>
                <c:pt idx="98">
                  <c:v>0.4538089428412872</c:v>
                </c:pt>
                <c:pt idx="99">
                  <c:v>0.45135706330696285</c:v>
                </c:pt>
                <c:pt idx="100">
                  <c:v>0.44893276976127555</c:v>
                </c:pt>
              </c:numCache>
            </c:numRef>
          </c:val>
          <c:smooth val="0"/>
        </c:ser>
        <c:ser>
          <c:idx val="16"/>
          <c:order val="16"/>
          <c:spPr>
            <a:ln w="25400">
              <a:solidFill>
                <a:srgbClr val="00B050"/>
              </a:solidFill>
              <a:prstDash val="dash"/>
            </a:ln>
          </c:spPr>
          <c:marker>
            <c:symbol val="none"/>
          </c:marker>
          <c:val>
            <c:numRef>
              <c:f>'Calculations - Dual'!$AU$110:$AU$210</c:f>
              <c:numCache>
                <c:formatCode>0.000</c:formatCode>
                <c:ptCount val="101"/>
                <c:pt idx="0">
                  <c:v>1.6571428571428574E-2</c:v>
                </c:pt>
                <c:pt idx="1">
                  <c:v>4.5073891625615765E-2</c:v>
                </c:pt>
                <c:pt idx="2">
                  <c:v>9.0147783251231531E-2</c:v>
                </c:pt>
                <c:pt idx="3">
                  <c:v>0.13522167487684725</c:v>
                </c:pt>
                <c:pt idx="4">
                  <c:v>0.18029556650246306</c:v>
                </c:pt>
                <c:pt idx="5">
                  <c:v>0.22536945812807882</c:v>
                </c:pt>
                <c:pt idx="6">
                  <c:v>0.2704433497536945</c:v>
                </c:pt>
                <c:pt idx="7">
                  <c:v>0.31551724137931036</c:v>
                </c:pt>
                <c:pt idx="8">
                  <c:v>0.36059113300492612</c:v>
                </c:pt>
                <c:pt idx="9">
                  <c:v>0.41664516634031651</c:v>
                </c:pt>
                <c:pt idx="10">
                  <c:v>0.48798063027226718</c:v>
                </c:pt>
                <c:pt idx="11">
                  <c:v>0.56297824304172139</c:v>
                </c:pt>
                <c:pt idx="12">
                  <c:v>0.71530005581305023</c:v>
                </c:pt>
                <c:pt idx="13">
                  <c:v>0.68539325842696619</c:v>
                </c:pt>
                <c:pt idx="14">
                  <c:v>0.68539325842696619</c:v>
                </c:pt>
                <c:pt idx="15">
                  <c:v>0.6853932584269663</c:v>
                </c:pt>
                <c:pt idx="16">
                  <c:v>0.6853932584269663</c:v>
                </c:pt>
                <c:pt idx="17">
                  <c:v>0.6853932584269663</c:v>
                </c:pt>
                <c:pt idx="18">
                  <c:v>0.68539325842696619</c:v>
                </c:pt>
                <c:pt idx="19">
                  <c:v>0.68539325842696641</c:v>
                </c:pt>
                <c:pt idx="20">
                  <c:v>0.68539325842696641</c:v>
                </c:pt>
                <c:pt idx="21">
                  <c:v>0.6853932584269663</c:v>
                </c:pt>
                <c:pt idx="22">
                  <c:v>0.68539325842696608</c:v>
                </c:pt>
                <c:pt idx="23">
                  <c:v>0.6853932584269663</c:v>
                </c:pt>
                <c:pt idx="24">
                  <c:v>0.6853932584269663</c:v>
                </c:pt>
                <c:pt idx="25">
                  <c:v>0.6853932584269663</c:v>
                </c:pt>
                <c:pt idx="26">
                  <c:v>0.68539325842696619</c:v>
                </c:pt>
                <c:pt idx="27">
                  <c:v>0.6853932584269663</c:v>
                </c:pt>
                <c:pt idx="28">
                  <c:v>0.68539325842696619</c:v>
                </c:pt>
                <c:pt idx="29">
                  <c:v>0.6853932584269663</c:v>
                </c:pt>
                <c:pt idx="30">
                  <c:v>0.6853932584269663</c:v>
                </c:pt>
                <c:pt idx="31">
                  <c:v>0.6853932584269663</c:v>
                </c:pt>
                <c:pt idx="32">
                  <c:v>0.6853932584269663</c:v>
                </c:pt>
                <c:pt idx="33">
                  <c:v>0.6853932584269663</c:v>
                </c:pt>
                <c:pt idx="34">
                  <c:v>0.6853932584269663</c:v>
                </c:pt>
                <c:pt idx="35">
                  <c:v>0.6853932584269663</c:v>
                </c:pt>
                <c:pt idx="36">
                  <c:v>0.68539325842696619</c:v>
                </c:pt>
                <c:pt idx="37">
                  <c:v>0.6853932584269663</c:v>
                </c:pt>
                <c:pt idx="38">
                  <c:v>0.68539325842696641</c:v>
                </c:pt>
                <c:pt idx="39">
                  <c:v>0.6853932584269663</c:v>
                </c:pt>
                <c:pt idx="40">
                  <c:v>0.68539325842696641</c:v>
                </c:pt>
                <c:pt idx="41">
                  <c:v>0.6853932584269663</c:v>
                </c:pt>
                <c:pt idx="42">
                  <c:v>0.6853932584269663</c:v>
                </c:pt>
                <c:pt idx="43">
                  <c:v>0.6853932584269663</c:v>
                </c:pt>
                <c:pt idx="44">
                  <c:v>0.68539325842696608</c:v>
                </c:pt>
                <c:pt idx="45">
                  <c:v>0.6853932584269663</c:v>
                </c:pt>
                <c:pt idx="46">
                  <c:v>0.68246166949775544</c:v>
                </c:pt>
                <c:pt idx="47">
                  <c:v>0.67786180325267431</c:v>
                </c:pt>
                <c:pt idx="48">
                  <c:v>0.67332678364439613</c:v>
                </c:pt>
                <c:pt idx="49">
                  <c:v>0.66885524900729698</c:v>
                </c:pt>
                <c:pt idx="50">
                  <c:v>0.66444587553421919</c:v>
                </c:pt>
                <c:pt idx="51">
                  <c:v>0.66009737596982643</c:v>
                </c:pt>
                <c:pt idx="52">
                  <c:v>0.65580849835770538</c:v>
                </c:pt>
                <c:pt idx="53">
                  <c:v>0.65157802483865213</c:v>
                </c:pt>
                <c:pt idx="54">
                  <c:v>0.64740477049771972</c:v>
                </c:pt>
                <c:pt idx="55">
                  <c:v>0.6432875822577333</c:v>
                </c:pt>
                <c:pt idx="56">
                  <c:v>0.63922533781710422</c:v>
                </c:pt>
                <c:pt idx="57">
                  <c:v>0.6352169446298872</c:v>
                </c:pt>
                <c:pt idx="58">
                  <c:v>0.63126133892613134</c:v>
                </c:pt>
                <c:pt idx="59">
                  <c:v>0.62735748477068332</c:v>
                </c:pt>
                <c:pt idx="60">
                  <c:v>0.62350437315869156</c:v>
                </c:pt>
                <c:pt idx="61">
                  <c:v>0.61970102114615189</c:v>
                </c:pt>
                <c:pt idx="62">
                  <c:v>0.61594647101392253</c:v>
                </c:pt>
                <c:pt idx="63">
                  <c:v>0.61223978946371427</c:v>
                </c:pt>
                <c:pt idx="64">
                  <c:v>0.60858006684463728</c:v>
                </c:pt>
                <c:pt idx="65">
                  <c:v>0.60496641640895998</c:v>
                </c:pt>
                <c:pt idx="66">
                  <c:v>0.60139797359579905</c:v>
                </c:pt>
                <c:pt idx="67">
                  <c:v>0.59787389534152524</c:v>
                </c:pt>
                <c:pt idx="68">
                  <c:v>0.59439335941573312</c:v>
                </c:pt>
                <c:pt idx="69">
                  <c:v>0.59095556378166925</c:v>
                </c:pt>
                <c:pt idx="70">
                  <c:v>0.58755972598008177</c:v>
                </c:pt>
                <c:pt idx="71">
                  <c:v>0.58420508253549075</c:v>
                </c:pt>
                <c:pt idx="72">
                  <c:v>0.58089088838393721</c:v>
                </c:pt>
                <c:pt idx="73">
                  <c:v>0.57761641632130667</c:v>
                </c:pt>
                <c:pt idx="74">
                  <c:v>0.57438095647137244</c:v>
                </c:pt>
                <c:pt idx="75">
                  <c:v>0.57118381577273836</c:v>
                </c:pt>
                <c:pt idx="76">
                  <c:v>0.56802431748390358</c:v>
                </c:pt>
                <c:pt idx="77">
                  <c:v>0.56490180070570706</c:v>
                </c:pt>
                <c:pt idx="78">
                  <c:v>0.56181561992044426</c:v>
                </c:pt>
                <c:pt idx="79">
                  <c:v>0.5587651445469789</c:v>
                </c:pt>
                <c:pt idx="80">
                  <c:v>0.55574975851120823</c:v>
                </c:pt>
                <c:pt idx="81">
                  <c:v>0.55276885983126645</c:v>
                </c:pt>
                <c:pt idx="82">
                  <c:v>0.54982186021687873</c:v>
                </c:pt>
                <c:pt idx="83">
                  <c:v>0.54690818468230651</c:v>
                </c:pt>
                <c:pt idx="84">
                  <c:v>0.54402727117235006</c:v>
                </c:pt>
                <c:pt idx="85">
                  <c:v>0.54117857020089555</c:v>
                </c:pt>
                <c:pt idx="86">
                  <c:v>0.53836154450151941</c:v>
                </c:pt>
                <c:pt idx="87">
                  <c:v>0.53557566868968409</c:v>
                </c:pt>
                <c:pt idx="88">
                  <c:v>0.53282042893607739</c:v>
                </c:pt>
                <c:pt idx="89">
                  <c:v>0.5300953226506695</c:v>
                </c:pt>
                <c:pt idx="90">
                  <c:v>0.52739985817708068</c:v>
                </c:pt>
                <c:pt idx="91">
                  <c:v>0.52473355449686765</c:v>
                </c:pt>
                <c:pt idx="92">
                  <c:v>0.52209594094335687</c:v>
                </c:pt>
                <c:pt idx="93">
                  <c:v>0.51948655692466372</c:v>
                </c:pt>
                <c:pt idx="94">
                  <c:v>0.51690495165556127</c:v>
                </c:pt>
                <c:pt idx="95">
                  <c:v>0.5143506838978632</c:v>
                </c:pt>
                <c:pt idx="96">
                  <c:v>0.51182332170901446</c:v>
                </c:pt>
                <c:pt idx="97">
                  <c:v>0.50932244219858125</c:v>
                </c:pt>
                <c:pt idx="98">
                  <c:v>0.50684763129235977</c:v>
                </c:pt>
                <c:pt idx="99">
                  <c:v>0.50439848350381977</c:v>
                </c:pt>
                <c:pt idx="100">
                  <c:v>0.50197460171262476</c:v>
                </c:pt>
              </c:numCache>
            </c:numRef>
          </c:val>
          <c:smooth val="0"/>
        </c:ser>
        <c:ser>
          <c:idx val="17"/>
          <c:order val="17"/>
          <c:spPr>
            <a:ln w="25400">
              <a:solidFill>
                <a:srgbClr val="FF0000"/>
              </a:solidFill>
            </a:ln>
          </c:spPr>
          <c:marker>
            <c:symbol val="none"/>
          </c:marker>
          <c:val>
            <c:numRef>
              <c:f>'Calculations - Dual'!$AU$216:$AU$316</c:f>
              <c:numCache>
                <c:formatCode>0.000</c:formatCode>
                <c:ptCount val="101"/>
                <c:pt idx="0">
                  <c:v>4.8333333333333336E-3</c:v>
                </c:pt>
                <c:pt idx="1">
                  <c:v>1.3146551724137933E-2</c:v>
                </c:pt>
                <c:pt idx="2">
                  <c:v>2.6293103448275866E-2</c:v>
                </c:pt>
                <c:pt idx="3">
                  <c:v>3.9439655172413782E-2</c:v>
                </c:pt>
                <c:pt idx="4">
                  <c:v>5.2586206896551732E-2</c:v>
                </c:pt>
                <c:pt idx="5">
                  <c:v>6.5732758620689655E-2</c:v>
                </c:pt>
                <c:pt idx="6">
                  <c:v>7.8879310344827563E-2</c:v>
                </c:pt>
                <c:pt idx="7">
                  <c:v>9.2025862068965542E-2</c:v>
                </c:pt>
                <c:pt idx="8">
                  <c:v>0.10517241379310346</c:v>
                </c:pt>
                <c:pt idx="9">
                  <c:v>0.121521506849259</c:v>
                </c:pt>
                <c:pt idx="10">
                  <c:v>0.14232768382941127</c:v>
                </c:pt>
                <c:pt idx="11">
                  <c:v>0.16420198755383539</c:v>
                </c:pt>
                <c:pt idx="12">
                  <c:v>0.18709459917799626</c:v>
                </c:pt>
                <c:pt idx="13">
                  <c:v>0.20881610729698669</c:v>
                </c:pt>
                <c:pt idx="14">
                  <c:v>0.21669871557841161</c:v>
                </c:pt>
                <c:pt idx="15">
                  <c:v>0.22430448056157948</c:v>
                </c:pt>
                <c:pt idx="16">
                  <c:v>0.23166067138525404</c:v>
                </c:pt>
                <c:pt idx="17">
                  <c:v>0.23879035435572629</c:v>
                </c:pt>
                <c:pt idx="18">
                  <c:v>0.24571324750611229</c:v>
                </c:pt>
                <c:pt idx="19">
                  <c:v>0.25244636394027675</c:v>
                </c:pt>
                <c:pt idx="20">
                  <c:v>0.25900450446533418</c:v>
                </c:pt>
                <c:pt idx="21">
                  <c:v>0.26540064054180429</c:v>
                </c:pt>
                <c:pt idx="22">
                  <c:v>0.27164621599916811</c:v>
                </c:pt>
                <c:pt idx="23">
                  <c:v>0.27775138763529761</c:v>
                </c:pt>
                <c:pt idx="24">
                  <c:v>0.2837252191822221</c:v>
                </c:pt>
                <c:pt idx="25">
                  <c:v>0.28957583923156754</c:v>
                </c:pt>
                <c:pt idx="26">
                  <c:v>0.29531057098135405</c:v>
                </c:pt>
                <c:pt idx="27">
                  <c:v>0.30093603971608324</c:v>
                </c:pt>
                <c:pt idx="28">
                  <c:v>0.30645826251981961</c:v>
                </c:pt>
                <c:pt idx="29">
                  <c:v>0.31188272368525533</c:v>
                </c:pt>
                <c:pt idx="30">
                  <c:v>0.31721443851123793</c:v>
                </c:pt>
                <c:pt idx="31">
                  <c:v>0.32245800760202359</c:v>
                </c:pt>
                <c:pt idx="32">
                  <c:v>0.32761766334148312</c:v>
                </c:pt>
                <c:pt idx="33">
                  <c:v>0.33269730987791291</c:v>
                </c:pt>
                <c:pt idx="34">
                  <c:v>0.33770055769374541</c:v>
                </c:pt>
                <c:pt idx="35">
                  <c:v>0.34263075363039636</c:v>
                </c:pt>
                <c:pt idx="36">
                  <c:v>0.34749100707788111</c:v>
                </c:pt>
                <c:pt idx="37">
                  <c:v>0.35228421291148809</c:v>
                </c:pt>
                <c:pt idx="38">
                  <c:v>0.35701307165611368</c:v>
                </c:pt>
                <c:pt idx="39">
                  <c:v>0.36168010727713518</c:v>
                </c:pt>
                <c:pt idx="40">
                  <c:v>0.36628768293059849</c:v>
                </c:pt>
                <c:pt idx="41">
                  <c:v>0.36636892227161671</c:v>
                </c:pt>
                <c:pt idx="42">
                  <c:v>0.36198111222315438</c:v>
                </c:pt>
                <c:pt idx="43">
                  <c:v>0.35774726935610079</c:v>
                </c:pt>
                <c:pt idx="44">
                  <c:v>0.35365859485542833</c:v>
                </c:pt>
                <c:pt idx="45">
                  <c:v>0.38853503184713373</c:v>
                </c:pt>
                <c:pt idx="46">
                  <c:v>0.38853503184713378</c:v>
                </c:pt>
                <c:pt idx="47">
                  <c:v>0.38853503184713373</c:v>
                </c:pt>
                <c:pt idx="48">
                  <c:v>0.38853503184713378</c:v>
                </c:pt>
                <c:pt idx="49">
                  <c:v>0.38853503184713378</c:v>
                </c:pt>
                <c:pt idx="50">
                  <c:v>0.38853503184713367</c:v>
                </c:pt>
                <c:pt idx="51">
                  <c:v>0.38853503184713378</c:v>
                </c:pt>
                <c:pt idx="52">
                  <c:v>0.38853503184713373</c:v>
                </c:pt>
                <c:pt idx="53">
                  <c:v>0.38853503184713378</c:v>
                </c:pt>
                <c:pt idx="54">
                  <c:v>0.38853503184713378</c:v>
                </c:pt>
                <c:pt idx="55">
                  <c:v>0.38853503184713378</c:v>
                </c:pt>
                <c:pt idx="56">
                  <c:v>0.38853503184713378</c:v>
                </c:pt>
                <c:pt idx="57">
                  <c:v>0.38853503184713378</c:v>
                </c:pt>
                <c:pt idx="58">
                  <c:v>0.38853503184713373</c:v>
                </c:pt>
                <c:pt idx="59">
                  <c:v>0.38853503184713373</c:v>
                </c:pt>
                <c:pt idx="60">
                  <c:v>0.38853503184713378</c:v>
                </c:pt>
                <c:pt idx="61">
                  <c:v>0.38853503184713378</c:v>
                </c:pt>
                <c:pt idx="62">
                  <c:v>0.38853503184713373</c:v>
                </c:pt>
                <c:pt idx="63">
                  <c:v>0.38853503184713378</c:v>
                </c:pt>
                <c:pt idx="64">
                  <c:v>0.38853503184713384</c:v>
                </c:pt>
                <c:pt idx="65">
                  <c:v>0.38853503184713378</c:v>
                </c:pt>
                <c:pt idx="66">
                  <c:v>0.38853503184713389</c:v>
                </c:pt>
                <c:pt idx="67">
                  <c:v>0.38853503184713373</c:v>
                </c:pt>
                <c:pt idx="68">
                  <c:v>0.38853503184713378</c:v>
                </c:pt>
                <c:pt idx="69">
                  <c:v>0.38853503184713378</c:v>
                </c:pt>
                <c:pt idx="70">
                  <c:v>0.38853503184713378</c:v>
                </c:pt>
                <c:pt idx="71">
                  <c:v>0.38853503184713373</c:v>
                </c:pt>
                <c:pt idx="72">
                  <c:v>0.38853503184713378</c:v>
                </c:pt>
                <c:pt idx="73">
                  <c:v>0.38853503184713378</c:v>
                </c:pt>
                <c:pt idx="74">
                  <c:v>0.38853503184713373</c:v>
                </c:pt>
                <c:pt idx="75">
                  <c:v>0.38853503184713373</c:v>
                </c:pt>
                <c:pt idx="76">
                  <c:v>0.38853503184713384</c:v>
                </c:pt>
                <c:pt idx="77">
                  <c:v>0.38853503184713378</c:v>
                </c:pt>
                <c:pt idx="78">
                  <c:v>0.38853503184713367</c:v>
                </c:pt>
                <c:pt idx="79">
                  <c:v>0.38853503184713373</c:v>
                </c:pt>
                <c:pt idx="80">
                  <c:v>0.38853503184713373</c:v>
                </c:pt>
                <c:pt idx="81">
                  <c:v>0.38853503184713378</c:v>
                </c:pt>
                <c:pt idx="82">
                  <c:v>0.38853503184713373</c:v>
                </c:pt>
                <c:pt idx="83">
                  <c:v>0.38853503184713373</c:v>
                </c:pt>
                <c:pt idx="84">
                  <c:v>0.38853503184713373</c:v>
                </c:pt>
                <c:pt idx="85">
                  <c:v>0.38853503184713378</c:v>
                </c:pt>
                <c:pt idx="86">
                  <c:v>0.38853503184713378</c:v>
                </c:pt>
                <c:pt idx="87">
                  <c:v>0.38853503184713367</c:v>
                </c:pt>
                <c:pt idx="88">
                  <c:v>0.38853503184713378</c:v>
                </c:pt>
                <c:pt idx="89">
                  <c:v>0.3863758884605476</c:v>
                </c:pt>
                <c:pt idx="90">
                  <c:v>0.3837741557594298</c:v>
                </c:pt>
                <c:pt idx="91">
                  <c:v>0.38120817472953877</c:v>
                </c:pt>
                <c:pt idx="92">
                  <c:v>0.37867721347793454</c:v>
                </c:pt>
                <c:pt idx="93">
                  <c:v>0.37618055995361138</c:v>
                </c:pt>
                <c:pt idx="94">
                  <c:v>0.37371752127962055</c:v>
                </c:pt>
                <c:pt idx="95">
                  <c:v>0.37128742311198809</c:v>
                </c:pt>
                <c:pt idx="96">
                  <c:v>0.36888960902418527</c:v>
                </c:pt>
                <c:pt idx="97">
                  <c:v>0.36652343991596703</c:v>
                </c:pt>
                <c:pt idx="98">
                  <c:v>0.36418829344546416</c:v>
                </c:pt>
                <c:pt idx="99">
                  <c:v>0.36188356348346656</c:v>
                </c:pt>
                <c:pt idx="100">
                  <c:v>0.35960865958889299</c:v>
                </c:pt>
              </c:numCache>
            </c:numRef>
          </c:val>
          <c:smooth val="0"/>
        </c:ser>
        <c:ser>
          <c:idx val="1"/>
          <c:order val="0"/>
          <c:tx>
            <c:v>VIN-min</c:v>
          </c:tx>
          <c:spPr>
            <a:ln>
              <a:solidFill>
                <a:srgbClr val="00B050"/>
              </a:solidFill>
              <a:prstDash val="sysDash"/>
            </a:ln>
          </c:spPr>
          <c:marker>
            <c:symbol val="none"/>
          </c:marker>
          <c:cat>
            <c:numRef>
              <c:f>'Calculations - Dual'!$BZ$5:$BZ$105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11.000000000000002</c:v>
                </c:pt>
                <c:pt idx="12">
                  <c:v>12</c:v>
                </c:pt>
                <c:pt idx="13">
                  <c:v>13</c:v>
                </c:pt>
                <c:pt idx="14">
                  <c:v>14.000000000000002</c:v>
                </c:pt>
                <c:pt idx="15">
                  <c:v>15</c:v>
                </c:pt>
                <c:pt idx="16">
                  <c:v>16</c:v>
                </c:pt>
                <c:pt idx="17">
                  <c:v>17</c:v>
                </c:pt>
                <c:pt idx="18">
                  <c:v>18</c:v>
                </c:pt>
                <c:pt idx="19">
                  <c:v>19</c:v>
                </c:pt>
                <c:pt idx="20">
                  <c:v>20</c:v>
                </c:pt>
                <c:pt idx="21">
                  <c:v>21.000000000000004</c:v>
                </c:pt>
                <c:pt idx="22">
                  <c:v>22.000000000000004</c:v>
                </c:pt>
                <c:pt idx="23">
                  <c:v>23.000000000000004</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42.000000000000007</c:v>
                </c:pt>
                <c:pt idx="43">
                  <c:v>43.000000000000007</c:v>
                </c:pt>
                <c:pt idx="44">
                  <c:v>44.000000000000007</c:v>
                </c:pt>
                <c:pt idx="45">
                  <c:v>45.000000000000007</c:v>
                </c:pt>
                <c:pt idx="46">
                  <c:v>46.000000000000007</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84.000000000000014</c:v>
                </c:pt>
                <c:pt idx="85">
                  <c:v>85.000000000000014</c:v>
                </c:pt>
                <c:pt idx="86">
                  <c:v>86.000000000000014</c:v>
                </c:pt>
                <c:pt idx="87">
                  <c:v>87.000000000000014</c:v>
                </c:pt>
                <c:pt idx="88">
                  <c:v>88.000000000000014</c:v>
                </c:pt>
                <c:pt idx="89">
                  <c:v>89.000000000000014</c:v>
                </c:pt>
                <c:pt idx="90">
                  <c:v>90.000000000000014</c:v>
                </c:pt>
                <c:pt idx="91">
                  <c:v>91.000000000000014</c:v>
                </c:pt>
                <c:pt idx="92">
                  <c:v>92.000000000000014</c:v>
                </c:pt>
                <c:pt idx="93">
                  <c:v>93.000000000000014</c:v>
                </c:pt>
                <c:pt idx="94">
                  <c:v>94</c:v>
                </c:pt>
                <c:pt idx="95">
                  <c:v>95</c:v>
                </c:pt>
                <c:pt idx="96">
                  <c:v>96</c:v>
                </c:pt>
                <c:pt idx="97">
                  <c:v>97</c:v>
                </c:pt>
                <c:pt idx="98">
                  <c:v>98</c:v>
                </c:pt>
                <c:pt idx="99">
                  <c:v>99</c:v>
                </c:pt>
                <c:pt idx="100">
                  <c:v>100</c:v>
                </c:pt>
              </c:numCache>
            </c:numRef>
          </c:cat>
          <c:val>
            <c:numRef>
              <c:f>'Calculations - Dual'!$AM$110:$AM$210</c:f>
              <c:numCache>
                <c:formatCode>0.0</c:formatCode>
                <c:ptCount val="101"/>
                <c:pt idx="0">
                  <c:v>10</c:v>
                </c:pt>
                <c:pt idx="1">
                  <c:v>27.199762187871581</c:v>
                </c:pt>
                <c:pt idx="2">
                  <c:v>54.399524375743162</c:v>
                </c:pt>
                <c:pt idx="3">
                  <c:v>81.599286563614726</c:v>
                </c:pt>
                <c:pt idx="4">
                  <c:v>108.79904875148632</c:v>
                </c:pt>
                <c:pt idx="5">
                  <c:v>135.9988109393579</c:v>
                </c:pt>
                <c:pt idx="6">
                  <c:v>163.19857312722945</c:v>
                </c:pt>
                <c:pt idx="7">
                  <c:v>190.39833531510109</c:v>
                </c:pt>
                <c:pt idx="8">
                  <c:v>217.59809750297265</c:v>
                </c:pt>
                <c:pt idx="9">
                  <c:v>244.79785969084423</c:v>
                </c:pt>
                <c:pt idx="10">
                  <c:v>271.99762187871579</c:v>
                </c:pt>
                <c:pt idx="11">
                  <c:v>299.1973840665874</c:v>
                </c:pt>
                <c:pt idx="12">
                  <c:v>326.3971462544589</c:v>
                </c:pt>
                <c:pt idx="13">
                  <c:v>288.69270923277054</c:v>
                </c:pt>
                <c:pt idx="14">
                  <c:v>268.07180143042973</c:v>
                </c:pt>
                <c:pt idx="15">
                  <c:v>250.20034800173451</c:v>
                </c:pt>
                <c:pt idx="16">
                  <c:v>234.56282625162609</c:v>
                </c:pt>
                <c:pt idx="17">
                  <c:v>220.7650129427069</c:v>
                </c:pt>
                <c:pt idx="18">
                  <c:v>208.50029000144542</c:v>
                </c:pt>
                <c:pt idx="19">
                  <c:v>197.52659052768516</c:v>
                </c:pt>
                <c:pt idx="20">
                  <c:v>187.65026100130086</c:v>
                </c:pt>
                <c:pt idx="21">
                  <c:v>178.71453428695321</c:v>
                </c:pt>
                <c:pt idx="22">
                  <c:v>170.59114636481894</c:v>
                </c:pt>
                <c:pt idx="23">
                  <c:v>163.17414000113115</c:v>
                </c:pt>
                <c:pt idx="24">
                  <c:v>156.37521750108408</c:v>
                </c:pt>
                <c:pt idx="25">
                  <c:v>150.12020880104066</c:v>
                </c:pt>
                <c:pt idx="26">
                  <c:v>144.34635461638527</c:v>
                </c:pt>
                <c:pt idx="27">
                  <c:v>139.00019333429694</c:v>
                </c:pt>
                <c:pt idx="28">
                  <c:v>134.03590071521486</c:v>
                </c:pt>
                <c:pt idx="29">
                  <c:v>129.41397310434542</c:v>
                </c:pt>
                <c:pt idx="30">
                  <c:v>125.10017400086726</c:v>
                </c:pt>
                <c:pt idx="31">
                  <c:v>121.06468451696827</c:v>
                </c:pt>
                <c:pt idx="32">
                  <c:v>117.28141312581305</c:v>
                </c:pt>
                <c:pt idx="33">
                  <c:v>113.7274309098793</c:v>
                </c:pt>
                <c:pt idx="34">
                  <c:v>110.38250647135345</c:v>
                </c:pt>
                <c:pt idx="35">
                  <c:v>107.22872057217191</c:v>
                </c:pt>
                <c:pt idx="36">
                  <c:v>104.25014500072271</c:v>
                </c:pt>
                <c:pt idx="37">
                  <c:v>101.4325735142167</c:v>
                </c:pt>
                <c:pt idx="38">
                  <c:v>98.763295263842579</c:v>
                </c:pt>
                <c:pt idx="39">
                  <c:v>96.230903077590185</c:v>
                </c:pt>
                <c:pt idx="40">
                  <c:v>93.825130500650431</c:v>
                </c:pt>
                <c:pt idx="41">
                  <c:v>91.53671268356139</c:v>
                </c:pt>
                <c:pt idx="42">
                  <c:v>89.357267143476605</c:v>
                </c:pt>
                <c:pt idx="43">
                  <c:v>87.279191163395737</c:v>
                </c:pt>
                <c:pt idx="44">
                  <c:v>85.29557318240947</c:v>
                </c:pt>
                <c:pt idx="45">
                  <c:v>83.400116000578166</c:v>
                </c:pt>
                <c:pt idx="46">
                  <c:v>82.366063560073954</c:v>
                </c:pt>
                <c:pt idx="47">
                  <c:v>81.810907289115875</c:v>
                </c:pt>
                <c:pt idx="48">
                  <c:v>81.263577336392643</c:v>
                </c:pt>
                <c:pt idx="49">
                  <c:v>80.723909362949655</c:v>
                </c:pt>
                <c:pt idx="50">
                  <c:v>80.191743598957501</c:v>
                </c:pt>
                <c:pt idx="51">
                  <c:v>79.666924686013544</c:v>
                </c:pt>
                <c:pt idx="52">
                  <c:v>79.149301525929971</c:v>
                </c:pt>
                <c:pt idx="53">
                  <c:v>78.638727135699412</c:v>
                </c:pt>
                <c:pt idx="54">
                  <c:v>78.135058508345494</c:v>
                </c:pt>
                <c:pt idx="55">
                  <c:v>77.638156479381607</c:v>
                </c:pt>
                <c:pt idx="56">
                  <c:v>77.147885598616028</c:v>
                </c:pt>
                <c:pt idx="57">
                  <c:v>76.66411400705536</c:v>
                </c:pt>
                <c:pt idx="58">
                  <c:v>76.186713318671025</c:v>
                </c:pt>
                <c:pt idx="59">
                  <c:v>75.715558506806616</c:v>
                </c:pt>
                <c:pt idx="60">
                  <c:v>75.250527795014506</c:v>
                </c:pt>
                <c:pt idx="61">
                  <c:v>74.791502552121784</c:v>
                </c:pt>
                <c:pt idx="62">
                  <c:v>74.338367191335493</c:v>
                </c:pt>
                <c:pt idx="63">
                  <c:v>73.891009073206902</c:v>
                </c:pt>
                <c:pt idx="64">
                  <c:v>73.449318412283816</c:v>
                </c:pt>
                <c:pt idx="65">
                  <c:v>73.013188187288293</c:v>
                </c:pt>
                <c:pt idx="66">
                  <c:v>72.58251405466541</c:v>
                </c:pt>
                <c:pt idx="67">
                  <c:v>72.157194265356509</c:v>
                </c:pt>
                <c:pt idx="68">
                  <c:v>71.737129584657453</c:v>
                </c:pt>
                <c:pt idx="69">
                  <c:v>71.322223215029055</c:v>
                </c:pt>
                <c:pt idx="70">
                  <c:v>70.91238072173401</c:v>
                </c:pt>
                <c:pt idx="71">
                  <c:v>70.50750996117992</c:v>
                </c:pt>
                <c:pt idx="72">
                  <c:v>70.107521011854502</c:v>
                </c:pt>
                <c:pt idx="73">
                  <c:v>69.71232610774392</c:v>
                </c:pt>
                <c:pt idx="74">
                  <c:v>69.321839574131175</c:v>
                </c:pt>
                <c:pt idx="75">
                  <c:v>68.935977765675332</c:v>
                </c:pt>
                <c:pt idx="76">
                  <c:v>68.554659006678023</c:v>
                </c:pt>
                <c:pt idx="77">
                  <c:v>68.177803533447417</c:v>
                </c:pt>
                <c:pt idx="78">
                  <c:v>67.80533343867431</c:v>
                </c:pt>
                <c:pt idx="79">
                  <c:v>67.437172617738838</c:v>
                </c:pt>
                <c:pt idx="80">
                  <c:v>67.073246716869974</c:v>
                </c:pt>
                <c:pt idx="81">
                  <c:v>66.713483083083887</c:v>
                </c:pt>
                <c:pt idx="82">
                  <c:v>66.357810715830198</c:v>
                </c:pt>
                <c:pt idx="83">
                  <c:v>66.006160220278389</c:v>
                </c:pt>
                <c:pt idx="84">
                  <c:v>65.65846376218019</c:v>
                </c:pt>
                <c:pt idx="85">
                  <c:v>65.314655024246022</c:v>
                </c:pt>
                <c:pt idx="86">
                  <c:v>64.974669163976486</c:v>
                </c:pt>
                <c:pt idx="87">
                  <c:v>64.638442772892915</c:v>
                </c:pt>
                <c:pt idx="88">
                  <c:v>64.305913837112797</c:v>
                </c:pt>
                <c:pt idx="89">
                  <c:v>63.977021699218746</c:v>
                </c:pt>
                <c:pt idx="90">
                  <c:v>63.65170702137182</c:v>
                </c:pt>
                <c:pt idx="91">
                  <c:v>63.329911749621978</c:v>
                </c:pt>
                <c:pt idx="92">
                  <c:v>63.011579079370662</c:v>
                </c:pt>
                <c:pt idx="93">
                  <c:v>62.69665342194218</c:v>
                </c:pt>
                <c:pt idx="94">
                  <c:v>62.385080372222916</c:v>
                </c:pt>
                <c:pt idx="95">
                  <c:v>62.076806677328321</c:v>
                </c:pt>
                <c:pt idx="96">
                  <c:v>61.771780206260367</c:v>
                </c:pt>
                <c:pt idx="97">
                  <c:v>61.469949920518438</c:v>
                </c:pt>
                <c:pt idx="98">
                  <c:v>61.171265845629641</c:v>
                </c:pt>
                <c:pt idx="99">
                  <c:v>60.875679043564467</c:v>
                </c:pt>
                <c:pt idx="100">
                  <c:v>60.583141586006448</c:v>
                </c:pt>
              </c:numCache>
            </c:numRef>
          </c:val>
          <c:smooth val="0"/>
        </c:ser>
        <c:ser>
          <c:idx val="0"/>
          <c:order val="1"/>
          <c:tx>
            <c:v>VIN-nom</c:v>
          </c:tx>
          <c:spPr>
            <a:ln w="28575">
              <a:solidFill>
                <a:srgbClr val="0000FF"/>
              </a:solidFill>
              <a:prstDash val="lgDash"/>
            </a:ln>
          </c:spPr>
          <c:marker>
            <c:symbol val="none"/>
          </c:marker>
          <c:cat>
            <c:numRef>
              <c:f>'Calculations - Dual'!$BZ$5:$BZ$105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11.000000000000002</c:v>
                </c:pt>
                <c:pt idx="12">
                  <c:v>12</c:v>
                </c:pt>
                <c:pt idx="13">
                  <c:v>13</c:v>
                </c:pt>
                <c:pt idx="14">
                  <c:v>14.000000000000002</c:v>
                </c:pt>
                <c:pt idx="15">
                  <c:v>15</c:v>
                </c:pt>
                <c:pt idx="16">
                  <c:v>16</c:v>
                </c:pt>
                <c:pt idx="17">
                  <c:v>17</c:v>
                </c:pt>
                <c:pt idx="18">
                  <c:v>18</c:v>
                </c:pt>
                <c:pt idx="19">
                  <c:v>19</c:v>
                </c:pt>
                <c:pt idx="20">
                  <c:v>20</c:v>
                </c:pt>
                <c:pt idx="21">
                  <c:v>21.000000000000004</c:v>
                </c:pt>
                <c:pt idx="22">
                  <c:v>22.000000000000004</c:v>
                </c:pt>
                <c:pt idx="23">
                  <c:v>23.000000000000004</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42.000000000000007</c:v>
                </c:pt>
                <c:pt idx="43">
                  <c:v>43.000000000000007</c:v>
                </c:pt>
                <c:pt idx="44">
                  <c:v>44.000000000000007</c:v>
                </c:pt>
                <c:pt idx="45">
                  <c:v>45.000000000000007</c:v>
                </c:pt>
                <c:pt idx="46">
                  <c:v>46.000000000000007</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84.000000000000014</c:v>
                </c:pt>
                <c:pt idx="85">
                  <c:v>85.000000000000014</c:v>
                </c:pt>
                <c:pt idx="86">
                  <c:v>86.000000000000014</c:v>
                </c:pt>
                <c:pt idx="87">
                  <c:v>87.000000000000014</c:v>
                </c:pt>
                <c:pt idx="88">
                  <c:v>88.000000000000014</c:v>
                </c:pt>
                <c:pt idx="89">
                  <c:v>89.000000000000014</c:v>
                </c:pt>
                <c:pt idx="90">
                  <c:v>90.000000000000014</c:v>
                </c:pt>
                <c:pt idx="91">
                  <c:v>91.000000000000014</c:v>
                </c:pt>
                <c:pt idx="92">
                  <c:v>92.000000000000014</c:v>
                </c:pt>
                <c:pt idx="93">
                  <c:v>93.000000000000014</c:v>
                </c:pt>
                <c:pt idx="94">
                  <c:v>94</c:v>
                </c:pt>
                <c:pt idx="95">
                  <c:v>95</c:v>
                </c:pt>
                <c:pt idx="96">
                  <c:v>96</c:v>
                </c:pt>
                <c:pt idx="97">
                  <c:v>97</c:v>
                </c:pt>
                <c:pt idx="98">
                  <c:v>98</c:v>
                </c:pt>
                <c:pt idx="99">
                  <c:v>99</c:v>
                </c:pt>
                <c:pt idx="100">
                  <c:v>100</c:v>
                </c:pt>
              </c:numCache>
            </c:numRef>
          </c:cat>
          <c:val>
            <c:numRef>
              <c:f>'Calculations - Dual'!$AM$5:$AM$105</c:f>
              <c:numCache>
                <c:formatCode>0.0</c:formatCode>
                <c:ptCount val="101"/>
                <c:pt idx="0">
                  <c:v>10</c:v>
                </c:pt>
                <c:pt idx="1">
                  <c:v>27.199762187871581</c:v>
                </c:pt>
                <c:pt idx="2">
                  <c:v>54.399524375743162</c:v>
                </c:pt>
                <c:pt idx="3">
                  <c:v>81.599286563614726</c:v>
                </c:pt>
                <c:pt idx="4">
                  <c:v>108.79904875148632</c:v>
                </c:pt>
                <c:pt idx="5">
                  <c:v>135.9988109393579</c:v>
                </c:pt>
                <c:pt idx="6">
                  <c:v>163.19857312722945</c:v>
                </c:pt>
                <c:pt idx="7">
                  <c:v>190.39833531510109</c:v>
                </c:pt>
                <c:pt idx="8">
                  <c:v>217.59809750297265</c:v>
                </c:pt>
                <c:pt idx="9">
                  <c:v>244.79785969084423</c:v>
                </c:pt>
                <c:pt idx="10">
                  <c:v>271.99762187871579</c:v>
                </c:pt>
                <c:pt idx="11">
                  <c:v>299.1973840665874</c:v>
                </c:pt>
                <c:pt idx="12">
                  <c:v>326.3971462544589</c:v>
                </c:pt>
                <c:pt idx="13">
                  <c:v>350</c:v>
                </c:pt>
                <c:pt idx="14">
                  <c:v>350</c:v>
                </c:pt>
                <c:pt idx="15">
                  <c:v>350</c:v>
                </c:pt>
                <c:pt idx="16">
                  <c:v>350</c:v>
                </c:pt>
                <c:pt idx="17">
                  <c:v>350</c:v>
                </c:pt>
                <c:pt idx="18">
                  <c:v>350</c:v>
                </c:pt>
                <c:pt idx="19">
                  <c:v>350</c:v>
                </c:pt>
                <c:pt idx="20">
                  <c:v>350</c:v>
                </c:pt>
                <c:pt idx="21">
                  <c:v>350</c:v>
                </c:pt>
                <c:pt idx="22">
                  <c:v>334.23345408502564</c:v>
                </c:pt>
                <c:pt idx="23">
                  <c:v>319.701564776981</c:v>
                </c:pt>
                <c:pt idx="24">
                  <c:v>306.38066624460686</c:v>
                </c:pt>
                <c:pt idx="25">
                  <c:v>294.12543959482258</c:v>
                </c:pt>
                <c:pt idx="26">
                  <c:v>282.81292268732943</c:v>
                </c:pt>
                <c:pt idx="27">
                  <c:v>272.33836999520605</c:v>
                </c:pt>
                <c:pt idx="28">
                  <c:v>262.61199963823447</c:v>
                </c:pt>
                <c:pt idx="29">
                  <c:v>253.55641344381257</c:v>
                </c:pt>
                <c:pt idx="30">
                  <c:v>245.10453299568553</c:v>
                </c:pt>
                <c:pt idx="31">
                  <c:v>237.1979351571149</c:v>
                </c:pt>
                <c:pt idx="32">
                  <c:v>229.7854996834551</c:v>
                </c:pt>
                <c:pt idx="33">
                  <c:v>222.82230272335045</c:v>
                </c:pt>
                <c:pt idx="34">
                  <c:v>216.26870558442837</c:v>
                </c:pt>
                <c:pt idx="35">
                  <c:v>210.08959971058755</c:v>
                </c:pt>
                <c:pt idx="36">
                  <c:v>204.25377749640455</c:v>
                </c:pt>
                <c:pt idx="37">
                  <c:v>198.73340513163691</c:v>
                </c:pt>
                <c:pt idx="38">
                  <c:v>193.50357868080437</c:v>
                </c:pt>
                <c:pt idx="39">
                  <c:v>188.54194845821957</c:v>
                </c:pt>
                <c:pt idx="40">
                  <c:v>183.82839974676412</c:v>
                </c:pt>
                <c:pt idx="41">
                  <c:v>179.34478024074548</c:v>
                </c:pt>
                <c:pt idx="42">
                  <c:v>175.07466642548962</c:v>
                </c:pt>
                <c:pt idx="43">
                  <c:v>171.00316255512939</c:v>
                </c:pt>
                <c:pt idx="44">
                  <c:v>167.11672704251282</c:v>
                </c:pt>
                <c:pt idx="45">
                  <c:v>163.4030219971236</c:v>
                </c:pt>
                <c:pt idx="46">
                  <c:v>159.8507823884905</c:v>
                </c:pt>
                <c:pt idx="47">
                  <c:v>156.44970191213969</c:v>
                </c:pt>
                <c:pt idx="48">
                  <c:v>153.19033312230343</c:v>
                </c:pt>
                <c:pt idx="49">
                  <c:v>150.06399979327679</c:v>
                </c:pt>
                <c:pt idx="50">
                  <c:v>147.06271979741129</c:v>
                </c:pt>
                <c:pt idx="51">
                  <c:v>144.17913705628558</c:v>
                </c:pt>
                <c:pt idx="52">
                  <c:v>141.40646134366472</c:v>
                </c:pt>
                <c:pt idx="53">
                  <c:v>138.73841490321817</c:v>
                </c:pt>
                <c:pt idx="54">
                  <c:v>136.16918499760303</c:v>
                </c:pt>
                <c:pt idx="55">
                  <c:v>133.69338163401028</c:v>
                </c:pt>
                <c:pt idx="56">
                  <c:v>131.30599981911723</c:v>
                </c:pt>
                <c:pt idx="57">
                  <c:v>129.00238578720288</c:v>
                </c:pt>
                <c:pt idx="58">
                  <c:v>126.77820672190629</c:v>
                </c:pt>
                <c:pt idx="59">
                  <c:v>124.62942355712821</c:v>
                </c:pt>
                <c:pt idx="60">
                  <c:v>122.55226649784277</c:v>
                </c:pt>
                <c:pt idx="61">
                  <c:v>120.5432129486978</c:v>
                </c:pt>
                <c:pt idx="62">
                  <c:v>118.59896757855745</c:v>
                </c:pt>
                <c:pt idx="63">
                  <c:v>116.71644428365977</c:v>
                </c:pt>
                <c:pt idx="64">
                  <c:v>115.39752144821379</c:v>
                </c:pt>
                <c:pt idx="65">
                  <c:v>114.61878047373666</c:v>
                </c:pt>
                <c:pt idx="66">
                  <c:v>113.85087320122068</c:v>
                </c:pt>
                <c:pt idx="67">
                  <c:v>113.09357511763859</c:v>
                </c:pt>
                <c:pt idx="68">
                  <c:v>112.34666787101989</c:v>
                </c:pt>
                <c:pt idx="69">
                  <c:v>111.60993906055232</c:v>
                </c:pt>
                <c:pt idx="70">
                  <c:v>110.88318203520618</c:v>
                </c:pt>
                <c:pt idx="71">
                  <c:v>110.16619570048096</c:v>
                </c:pt>
                <c:pt idx="72">
                  <c:v>109.45878433289404</c:v>
                </c:pt>
                <c:pt idx="73">
                  <c:v>108.76075740185246</c:v>
                </c:pt>
                <c:pt idx="74">
                  <c:v>108.07192939856716</c:v>
                </c:pt>
                <c:pt idx="75">
                  <c:v>107.39211967168676</c:v>
                </c:pt>
                <c:pt idx="76">
                  <c:v>106.72115226934496</c:v>
                </c:pt>
                <c:pt idx="77">
                  <c:v>106.05885578733198</c:v>
                </c:pt>
                <c:pt idx="78">
                  <c:v>105.40506322311421</c:v>
                </c:pt>
                <c:pt idx="79">
                  <c:v>104.75961183544109</c:v>
                </c:pt>
                <c:pt idx="80">
                  <c:v>104.12234300929168</c:v>
                </c:pt>
                <c:pt idx="81">
                  <c:v>103.49310212592493</c:v>
                </c:pt>
                <c:pt idx="82">
                  <c:v>102.87173843781054</c:v>
                </c:pt>
                <c:pt idx="83">
                  <c:v>102.25810494822741</c:v>
                </c:pt>
                <c:pt idx="84">
                  <c:v>101.65205829532812</c:v>
                </c:pt>
                <c:pt idx="85">
                  <c:v>101.05345864047723</c:v>
                </c:pt>
                <c:pt idx="86">
                  <c:v>100.46216956068054</c:v>
                </c:pt>
                <c:pt idx="87">
                  <c:v>99.878057944931754</c:v>
                </c:pt>
                <c:pt idx="88">
                  <c:v>99.300993894310935</c:v>
                </c:pt>
                <c:pt idx="89">
                  <c:v>98.730850625677434</c:v>
                </c:pt>
                <c:pt idx="90">
                  <c:v>98.167504378807223</c:v>
                </c:pt>
                <c:pt idx="91">
                  <c:v>97.610834326831565</c:v>
                </c:pt>
                <c:pt idx="92">
                  <c:v>97.060722489841453</c:v>
                </c:pt>
                <c:pt idx="93">
                  <c:v>96.517053651527306</c:v>
                </c:pt>
                <c:pt idx="94">
                  <c:v>95.979715278730851</c:v>
                </c:pt>
                <c:pt idx="95">
                  <c:v>95.448597443790888</c:v>
                </c:pt>
                <c:pt idx="96">
                  <c:v>94.923592749570389</c:v>
                </c:pt>
                <c:pt idx="97">
                  <c:v>94.404596257057591</c:v>
                </c:pt>
                <c:pt idx="98">
                  <c:v>93.891505415438729</c:v>
                </c:pt>
                <c:pt idx="99">
                  <c:v>93.38421999454404</c:v>
                </c:pt>
                <c:pt idx="100">
                  <c:v>92.882642019574249</c:v>
                </c:pt>
              </c:numCache>
            </c:numRef>
          </c:val>
          <c:smooth val="0"/>
        </c:ser>
        <c:ser>
          <c:idx val="2"/>
          <c:order val="2"/>
          <c:tx>
            <c:v>VIN-max</c:v>
          </c:tx>
          <c:spPr>
            <a:ln>
              <a:solidFill>
                <a:srgbClr val="FF0000"/>
              </a:solidFill>
              <a:prstDash val="solid"/>
            </a:ln>
          </c:spPr>
          <c:marker>
            <c:symbol val="none"/>
          </c:marker>
          <c:cat>
            <c:numRef>
              <c:f>'Calculations - Dual'!$BZ$5:$BZ$105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11.000000000000002</c:v>
                </c:pt>
                <c:pt idx="12">
                  <c:v>12</c:v>
                </c:pt>
                <c:pt idx="13">
                  <c:v>13</c:v>
                </c:pt>
                <c:pt idx="14">
                  <c:v>14.000000000000002</c:v>
                </c:pt>
                <c:pt idx="15">
                  <c:v>15</c:v>
                </c:pt>
                <c:pt idx="16">
                  <c:v>16</c:v>
                </c:pt>
                <c:pt idx="17">
                  <c:v>17</c:v>
                </c:pt>
                <c:pt idx="18">
                  <c:v>18</c:v>
                </c:pt>
                <c:pt idx="19">
                  <c:v>19</c:v>
                </c:pt>
                <c:pt idx="20">
                  <c:v>20</c:v>
                </c:pt>
                <c:pt idx="21">
                  <c:v>21.000000000000004</c:v>
                </c:pt>
                <c:pt idx="22">
                  <c:v>22.000000000000004</c:v>
                </c:pt>
                <c:pt idx="23">
                  <c:v>23.000000000000004</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42.000000000000007</c:v>
                </c:pt>
                <c:pt idx="43">
                  <c:v>43.000000000000007</c:v>
                </c:pt>
                <c:pt idx="44">
                  <c:v>44.000000000000007</c:v>
                </c:pt>
                <c:pt idx="45">
                  <c:v>45.000000000000007</c:v>
                </c:pt>
                <c:pt idx="46">
                  <c:v>46.000000000000007</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84.000000000000014</c:v>
                </c:pt>
                <c:pt idx="85">
                  <c:v>85.000000000000014</c:v>
                </c:pt>
                <c:pt idx="86">
                  <c:v>86.000000000000014</c:v>
                </c:pt>
                <c:pt idx="87">
                  <c:v>87.000000000000014</c:v>
                </c:pt>
                <c:pt idx="88">
                  <c:v>88.000000000000014</c:v>
                </c:pt>
                <c:pt idx="89">
                  <c:v>89.000000000000014</c:v>
                </c:pt>
                <c:pt idx="90">
                  <c:v>90.000000000000014</c:v>
                </c:pt>
                <c:pt idx="91">
                  <c:v>91.000000000000014</c:v>
                </c:pt>
                <c:pt idx="92">
                  <c:v>92.000000000000014</c:v>
                </c:pt>
                <c:pt idx="93">
                  <c:v>93.000000000000014</c:v>
                </c:pt>
                <c:pt idx="94">
                  <c:v>94</c:v>
                </c:pt>
                <c:pt idx="95">
                  <c:v>95</c:v>
                </c:pt>
                <c:pt idx="96">
                  <c:v>96</c:v>
                </c:pt>
                <c:pt idx="97">
                  <c:v>97</c:v>
                </c:pt>
                <c:pt idx="98">
                  <c:v>98</c:v>
                </c:pt>
                <c:pt idx="99">
                  <c:v>99</c:v>
                </c:pt>
                <c:pt idx="100">
                  <c:v>100</c:v>
                </c:pt>
              </c:numCache>
            </c:numRef>
          </c:cat>
          <c:val>
            <c:numRef>
              <c:f>'Calculations - Dual'!$AM$216:$AM$316</c:f>
              <c:numCache>
                <c:formatCode>0.0</c:formatCode>
                <c:ptCount val="101"/>
                <c:pt idx="0">
                  <c:v>10</c:v>
                </c:pt>
                <c:pt idx="1">
                  <c:v>27.199762187871581</c:v>
                </c:pt>
                <c:pt idx="2">
                  <c:v>54.399524375743162</c:v>
                </c:pt>
                <c:pt idx="3">
                  <c:v>81.599286563614726</c:v>
                </c:pt>
                <c:pt idx="4">
                  <c:v>108.79904875148632</c:v>
                </c:pt>
                <c:pt idx="5">
                  <c:v>135.9988109393579</c:v>
                </c:pt>
                <c:pt idx="6">
                  <c:v>163.19857312722945</c:v>
                </c:pt>
                <c:pt idx="7">
                  <c:v>190.39833531510109</c:v>
                </c:pt>
                <c:pt idx="8">
                  <c:v>217.59809750297265</c:v>
                </c:pt>
                <c:pt idx="9">
                  <c:v>244.79785969084423</c:v>
                </c:pt>
                <c:pt idx="10">
                  <c:v>271.99762187871579</c:v>
                </c:pt>
                <c:pt idx="11">
                  <c:v>299.1973840665874</c:v>
                </c:pt>
                <c:pt idx="12">
                  <c:v>326.3971462544589</c:v>
                </c:pt>
                <c:pt idx="13">
                  <c:v>350</c:v>
                </c:pt>
                <c:pt idx="14">
                  <c:v>350</c:v>
                </c:pt>
                <c:pt idx="15">
                  <c:v>350</c:v>
                </c:pt>
                <c:pt idx="16">
                  <c:v>350</c:v>
                </c:pt>
                <c:pt idx="17">
                  <c:v>350</c:v>
                </c:pt>
                <c:pt idx="18">
                  <c:v>350</c:v>
                </c:pt>
                <c:pt idx="19">
                  <c:v>350</c:v>
                </c:pt>
                <c:pt idx="20">
                  <c:v>350</c:v>
                </c:pt>
                <c:pt idx="21">
                  <c:v>350</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345.78203319246984</c:v>
                </c:pt>
                <c:pt idx="42">
                  <c:v>337.54912764026807</c:v>
                </c:pt>
                <c:pt idx="43">
                  <c:v>329.69914792770373</c:v>
                </c:pt>
                <c:pt idx="44">
                  <c:v>322.20598547480142</c:v>
                </c:pt>
                <c:pt idx="45">
                  <c:v>315.04585246425023</c:v>
                </c:pt>
                <c:pt idx="46">
                  <c:v>308.1970295845926</c:v>
                </c:pt>
                <c:pt idx="47">
                  <c:v>301.63964597640984</c:v>
                </c:pt>
                <c:pt idx="48">
                  <c:v>295.35548668523472</c:v>
                </c:pt>
                <c:pt idx="49">
                  <c:v>289.32782369165841</c:v>
                </c:pt>
                <c:pt idx="50">
                  <c:v>283.54126721782518</c:v>
                </c:pt>
                <c:pt idx="51">
                  <c:v>277.9816345272796</c:v>
                </c:pt>
                <c:pt idx="52">
                  <c:v>272.6358338632935</c:v>
                </c:pt>
                <c:pt idx="53">
                  <c:v>267.49176152625023</c:v>
                </c:pt>
                <c:pt idx="54">
                  <c:v>262.53821038687522</c:v>
                </c:pt>
                <c:pt idx="55">
                  <c:v>257.76478837984109</c:v>
                </c:pt>
                <c:pt idx="56">
                  <c:v>253.16184573020112</c:v>
                </c:pt>
                <c:pt idx="57">
                  <c:v>248.72040984019762</c:v>
                </c:pt>
                <c:pt idx="58">
                  <c:v>244.43212691191832</c:v>
                </c:pt>
                <c:pt idx="59">
                  <c:v>240.28920950663155</c:v>
                </c:pt>
                <c:pt idx="60">
                  <c:v>236.28438934818772</c:v>
                </c:pt>
                <c:pt idx="61">
                  <c:v>232.41087476870922</c:v>
                </c:pt>
                <c:pt idx="62">
                  <c:v>228.66231227243966</c:v>
                </c:pt>
                <c:pt idx="63">
                  <c:v>225.0327517601788</c:v>
                </c:pt>
                <c:pt idx="64">
                  <c:v>221.5166150139259</c:v>
                </c:pt>
                <c:pt idx="65">
                  <c:v>218.10866709063478</c:v>
                </c:pt>
                <c:pt idx="66">
                  <c:v>214.80399031653431</c:v>
                </c:pt>
                <c:pt idx="67">
                  <c:v>211.59796061031733</c:v>
                </c:pt>
                <c:pt idx="68">
                  <c:v>208.48622589545974</c:v>
                </c:pt>
                <c:pt idx="69">
                  <c:v>205.4646863897284</c:v>
                </c:pt>
                <c:pt idx="70">
                  <c:v>202.52947658416088</c:v>
                </c:pt>
                <c:pt idx="71">
                  <c:v>199.67694874494731</c:v>
                </c:pt>
                <c:pt idx="72">
                  <c:v>196.90365779015639</c:v>
                </c:pt>
                <c:pt idx="73">
                  <c:v>194.20634740946934</c:v>
                </c:pt>
                <c:pt idx="74">
                  <c:v>191.58193730934141</c:v>
                </c:pt>
                <c:pt idx="75">
                  <c:v>189.02751147855017</c:v>
                </c:pt>
                <c:pt idx="76">
                  <c:v>186.54030738014822</c:v>
                </c:pt>
                <c:pt idx="77">
                  <c:v>184.11770598560082</c:v>
                </c:pt>
                <c:pt idx="78">
                  <c:v>181.75722257552897</c:v>
                </c:pt>
                <c:pt idx="79">
                  <c:v>179.45649823912987</c:v>
                </c:pt>
                <c:pt idx="80">
                  <c:v>177.21329201114077</c:v>
                </c:pt>
                <c:pt idx="81">
                  <c:v>175.02547359125012</c:v>
                </c:pt>
                <c:pt idx="82">
                  <c:v>172.89101659623492</c:v>
                </c:pt>
                <c:pt idx="83">
                  <c:v>170.80799229989475</c:v>
                </c:pt>
                <c:pt idx="84">
                  <c:v>168.77456382013403</c:v>
                </c:pt>
                <c:pt idx="85">
                  <c:v>166.78898071636777</c:v>
                </c:pt>
                <c:pt idx="86">
                  <c:v>164.84957396385187</c:v>
                </c:pt>
                <c:pt idx="87">
                  <c:v>162.95475127461216</c:v>
                </c:pt>
                <c:pt idx="88">
                  <c:v>161.10299273740071</c:v>
                </c:pt>
                <c:pt idx="89">
                  <c:v>159.87967798367487</c:v>
                </c:pt>
                <c:pt idx="90">
                  <c:v>158.80309893493649</c:v>
                </c:pt>
                <c:pt idx="91">
                  <c:v>157.74131368118847</c:v>
                </c:pt>
                <c:pt idx="92">
                  <c:v>156.69401937017983</c:v>
                </c:pt>
                <c:pt idx="93">
                  <c:v>155.66092136011505</c:v>
                </c:pt>
                <c:pt idx="94">
                  <c:v>154.64173294329129</c:v>
                </c:pt>
                <c:pt idx="95">
                  <c:v>153.63617508082268</c:v>
                </c:pt>
                <c:pt idx="96">
                  <c:v>152.64397614793876</c:v>
                </c:pt>
                <c:pt idx="97">
                  <c:v>151.66487168936567</c:v>
                </c:pt>
                <c:pt idx="98">
                  <c:v>150.69860418433001</c:v>
                </c:pt>
                <c:pt idx="99">
                  <c:v>149.74492282074479</c:v>
                </c:pt>
                <c:pt idx="100">
                  <c:v>148.80358327816262</c:v>
                </c:pt>
              </c:numCache>
            </c:numRef>
          </c:val>
          <c:smooth val="0"/>
        </c:ser>
        <c:ser>
          <c:idx val="3"/>
          <c:order val="3"/>
          <c:spPr>
            <a:ln>
              <a:noFill/>
            </a:ln>
          </c:spPr>
          <c:marker>
            <c:symbol val="x"/>
            <c:size val="10"/>
            <c:spPr>
              <a:pattFill prst="pct5">
                <a:fgClr>
                  <a:schemeClr val="tx1"/>
                </a:fgClr>
                <a:bgClr>
                  <a:schemeClr val="bg1"/>
                </a:bgClr>
              </a:pattFill>
              <a:ln>
                <a:solidFill>
                  <a:srgbClr val="33CC33"/>
                </a:solidFill>
              </a:ln>
            </c:spPr>
          </c:marker>
          <c:cat>
            <c:numRef>
              <c:f>'Calculations - Dual'!$BZ$5:$BZ$105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11.000000000000002</c:v>
                </c:pt>
                <c:pt idx="12">
                  <c:v>12</c:v>
                </c:pt>
                <c:pt idx="13">
                  <c:v>13</c:v>
                </c:pt>
                <c:pt idx="14">
                  <c:v>14.000000000000002</c:v>
                </c:pt>
                <c:pt idx="15">
                  <c:v>15</c:v>
                </c:pt>
                <c:pt idx="16">
                  <c:v>16</c:v>
                </c:pt>
                <c:pt idx="17">
                  <c:v>17</c:v>
                </c:pt>
                <c:pt idx="18">
                  <c:v>18</c:v>
                </c:pt>
                <c:pt idx="19">
                  <c:v>19</c:v>
                </c:pt>
                <c:pt idx="20">
                  <c:v>20</c:v>
                </c:pt>
                <c:pt idx="21">
                  <c:v>21.000000000000004</c:v>
                </c:pt>
                <c:pt idx="22">
                  <c:v>22.000000000000004</c:v>
                </c:pt>
                <c:pt idx="23">
                  <c:v>23.000000000000004</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42.000000000000007</c:v>
                </c:pt>
                <c:pt idx="43">
                  <c:v>43.000000000000007</c:v>
                </c:pt>
                <c:pt idx="44">
                  <c:v>44.000000000000007</c:v>
                </c:pt>
                <c:pt idx="45">
                  <c:v>45.000000000000007</c:v>
                </c:pt>
                <c:pt idx="46">
                  <c:v>46.000000000000007</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84.000000000000014</c:v>
                </c:pt>
                <c:pt idx="85">
                  <c:v>85.000000000000014</c:v>
                </c:pt>
                <c:pt idx="86">
                  <c:v>86.000000000000014</c:v>
                </c:pt>
                <c:pt idx="87">
                  <c:v>87.000000000000014</c:v>
                </c:pt>
                <c:pt idx="88">
                  <c:v>88.000000000000014</c:v>
                </c:pt>
                <c:pt idx="89">
                  <c:v>89.000000000000014</c:v>
                </c:pt>
                <c:pt idx="90">
                  <c:v>90.000000000000014</c:v>
                </c:pt>
                <c:pt idx="91">
                  <c:v>91.000000000000014</c:v>
                </c:pt>
                <c:pt idx="92">
                  <c:v>92.000000000000014</c:v>
                </c:pt>
                <c:pt idx="93">
                  <c:v>93.000000000000014</c:v>
                </c:pt>
                <c:pt idx="94">
                  <c:v>94</c:v>
                </c:pt>
                <c:pt idx="95">
                  <c:v>95</c:v>
                </c:pt>
                <c:pt idx="96">
                  <c:v>96</c:v>
                </c:pt>
                <c:pt idx="97">
                  <c:v>97</c:v>
                </c:pt>
                <c:pt idx="98">
                  <c:v>98</c:v>
                </c:pt>
                <c:pt idx="99">
                  <c:v>99</c:v>
                </c:pt>
                <c:pt idx="100">
                  <c:v>100</c:v>
                </c:pt>
              </c:numCache>
            </c:numRef>
          </c:cat>
          <c:val>
            <c:numRef>
              <c:f>'Calculations - Dual'!$CB$110:$CB$210</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83.400116000578166</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ser>
        <c:ser>
          <c:idx val="4"/>
          <c:order val="4"/>
          <c:spPr>
            <a:ln>
              <a:noFill/>
            </a:ln>
          </c:spPr>
          <c:marker>
            <c:symbol val="x"/>
            <c:size val="10"/>
            <c:spPr>
              <a:pattFill prst="pct5">
                <a:fgClr>
                  <a:schemeClr val="tx1"/>
                </a:fgClr>
                <a:bgClr>
                  <a:schemeClr val="bg1"/>
                </a:bgClr>
              </a:pattFill>
              <a:ln>
                <a:solidFill>
                  <a:srgbClr val="0000FF"/>
                </a:solidFill>
              </a:ln>
            </c:spPr>
          </c:marker>
          <c:cat>
            <c:numRef>
              <c:f>'Calculations - Dual'!$BZ$5:$BZ$105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11.000000000000002</c:v>
                </c:pt>
                <c:pt idx="12">
                  <c:v>12</c:v>
                </c:pt>
                <c:pt idx="13">
                  <c:v>13</c:v>
                </c:pt>
                <c:pt idx="14">
                  <c:v>14.000000000000002</c:v>
                </c:pt>
                <c:pt idx="15">
                  <c:v>15</c:v>
                </c:pt>
                <c:pt idx="16">
                  <c:v>16</c:v>
                </c:pt>
                <c:pt idx="17">
                  <c:v>17</c:v>
                </c:pt>
                <c:pt idx="18">
                  <c:v>18</c:v>
                </c:pt>
                <c:pt idx="19">
                  <c:v>19</c:v>
                </c:pt>
                <c:pt idx="20">
                  <c:v>20</c:v>
                </c:pt>
                <c:pt idx="21">
                  <c:v>21.000000000000004</c:v>
                </c:pt>
                <c:pt idx="22">
                  <c:v>22.000000000000004</c:v>
                </c:pt>
                <c:pt idx="23">
                  <c:v>23.000000000000004</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42.000000000000007</c:v>
                </c:pt>
                <c:pt idx="43">
                  <c:v>43.000000000000007</c:v>
                </c:pt>
                <c:pt idx="44">
                  <c:v>44.000000000000007</c:v>
                </c:pt>
                <c:pt idx="45">
                  <c:v>45.000000000000007</c:v>
                </c:pt>
                <c:pt idx="46">
                  <c:v>46.000000000000007</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84.000000000000014</c:v>
                </c:pt>
                <c:pt idx="85">
                  <c:v>85.000000000000014</c:v>
                </c:pt>
                <c:pt idx="86">
                  <c:v>86.000000000000014</c:v>
                </c:pt>
                <c:pt idx="87">
                  <c:v>87.000000000000014</c:v>
                </c:pt>
                <c:pt idx="88">
                  <c:v>88.000000000000014</c:v>
                </c:pt>
                <c:pt idx="89">
                  <c:v>89.000000000000014</c:v>
                </c:pt>
                <c:pt idx="90">
                  <c:v>90.000000000000014</c:v>
                </c:pt>
                <c:pt idx="91">
                  <c:v>91.000000000000014</c:v>
                </c:pt>
                <c:pt idx="92">
                  <c:v>92.000000000000014</c:v>
                </c:pt>
                <c:pt idx="93">
                  <c:v>93.000000000000014</c:v>
                </c:pt>
                <c:pt idx="94">
                  <c:v>94</c:v>
                </c:pt>
                <c:pt idx="95">
                  <c:v>95</c:v>
                </c:pt>
                <c:pt idx="96">
                  <c:v>96</c:v>
                </c:pt>
                <c:pt idx="97">
                  <c:v>97</c:v>
                </c:pt>
                <c:pt idx="98">
                  <c:v>98</c:v>
                </c:pt>
                <c:pt idx="99">
                  <c:v>99</c:v>
                </c:pt>
                <c:pt idx="100">
                  <c:v>100</c:v>
                </c:pt>
              </c:numCache>
            </c:numRef>
          </c:cat>
          <c:val>
            <c:numRef>
              <c:f>'Calculations - Dual'!$CB$5:$CB$105</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94.404596257057591</c:v>
                </c:pt>
                <c:pt idx="98">
                  <c:v>-50</c:v>
                </c:pt>
                <c:pt idx="99">
                  <c:v>-50</c:v>
                </c:pt>
                <c:pt idx="100">
                  <c:v>-50</c:v>
                </c:pt>
              </c:numCache>
            </c:numRef>
          </c:val>
          <c:smooth val="0"/>
        </c:ser>
        <c:ser>
          <c:idx val="5"/>
          <c:order val="5"/>
          <c:spPr>
            <a:ln>
              <a:noFill/>
            </a:ln>
          </c:spPr>
          <c:marker>
            <c:symbol val="x"/>
            <c:size val="10"/>
            <c:spPr>
              <a:pattFill prst="pct5">
                <a:fgClr>
                  <a:schemeClr val="tx1"/>
                </a:fgClr>
                <a:bgClr>
                  <a:schemeClr val="bg1"/>
                </a:bgClr>
              </a:pattFill>
              <a:ln>
                <a:solidFill>
                  <a:srgbClr val="FF0000"/>
                </a:solidFill>
              </a:ln>
            </c:spPr>
          </c:marker>
          <c:cat>
            <c:numRef>
              <c:f>'Calculations - Dual'!$BZ$5:$BZ$105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11.000000000000002</c:v>
                </c:pt>
                <c:pt idx="12">
                  <c:v>12</c:v>
                </c:pt>
                <c:pt idx="13">
                  <c:v>13</c:v>
                </c:pt>
                <c:pt idx="14">
                  <c:v>14.000000000000002</c:v>
                </c:pt>
                <c:pt idx="15">
                  <c:v>15</c:v>
                </c:pt>
                <c:pt idx="16">
                  <c:v>16</c:v>
                </c:pt>
                <c:pt idx="17">
                  <c:v>17</c:v>
                </c:pt>
                <c:pt idx="18">
                  <c:v>18</c:v>
                </c:pt>
                <c:pt idx="19">
                  <c:v>19</c:v>
                </c:pt>
                <c:pt idx="20">
                  <c:v>20</c:v>
                </c:pt>
                <c:pt idx="21">
                  <c:v>21.000000000000004</c:v>
                </c:pt>
                <c:pt idx="22">
                  <c:v>22.000000000000004</c:v>
                </c:pt>
                <c:pt idx="23">
                  <c:v>23.000000000000004</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42.000000000000007</c:v>
                </c:pt>
                <c:pt idx="43">
                  <c:v>43.000000000000007</c:v>
                </c:pt>
                <c:pt idx="44">
                  <c:v>44.000000000000007</c:v>
                </c:pt>
                <c:pt idx="45">
                  <c:v>45.000000000000007</c:v>
                </c:pt>
                <c:pt idx="46">
                  <c:v>46.000000000000007</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84.000000000000014</c:v>
                </c:pt>
                <c:pt idx="85">
                  <c:v>85.000000000000014</c:v>
                </c:pt>
                <c:pt idx="86">
                  <c:v>86.000000000000014</c:v>
                </c:pt>
                <c:pt idx="87">
                  <c:v>87.000000000000014</c:v>
                </c:pt>
                <c:pt idx="88">
                  <c:v>88.000000000000014</c:v>
                </c:pt>
                <c:pt idx="89">
                  <c:v>89.000000000000014</c:v>
                </c:pt>
                <c:pt idx="90">
                  <c:v>90.000000000000014</c:v>
                </c:pt>
                <c:pt idx="91">
                  <c:v>91.000000000000014</c:v>
                </c:pt>
                <c:pt idx="92">
                  <c:v>92.000000000000014</c:v>
                </c:pt>
                <c:pt idx="93">
                  <c:v>93.000000000000014</c:v>
                </c:pt>
                <c:pt idx="94">
                  <c:v>94</c:v>
                </c:pt>
                <c:pt idx="95">
                  <c:v>95</c:v>
                </c:pt>
                <c:pt idx="96">
                  <c:v>96</c:v>
                </c:pt>
                <c:pt idx="97">
                  <c:v>97</c:v>
                </c:pt>
                <c:pt idx="98">
                  <c:v>98</c:v>
                </c:pt>
                <c:pt idx="99">
                  <c:v>99</c:v>
                </c:pt>
                <c:pt idx="100">
                  <c:v>100</c:v>
                </c:pt>
              </c:numCache>
            </c:numRef>
          </c:cat>
          <c:val>
            <c:numRef>
              <c:f>'Calculations - Dual'!$CB$216:$CB$316</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161.10299273740071</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ser>
        <c:dLbls>
          <c:showLegendKey val="0"/>
          <c:showVal val="0"/>
          <c:showCatName val="0"/>
          <c:showSerName val="0"/>
          <c:showPercent val="0"/>
          <c:showBubbleSize val="0"/>
        </c:dLbls>
        <c:marker val="1"/>
        <c:smooth val="0"/>
        <c:axId val="132576384"/>
        <c:axId val="132578304"/>
      </c:lineChart>
      <c:lineChart>
        <c:grouping val="standard"/>
        <c:varyColors val="0"/>
        <c:ser>
          <c:idx val="6"/>
          <c:order val="6"/>
          <c:tx>
            <c:v>D1</c:v>
          </c:tx>
          <c:spPr>
            <a:ln w="25400">
              <a:solidFill>
                <a:srgbClr val="0000FF"/>
              </a:solidFill>
              <a:prstDash val="lgDash"/>
            </a:ln>
          </c:spPr>
          <c:marker>
            <c:symbol val="none"/>
          </c:marker>
          <c:val>
            <c:numRef>
              <c:f>'Calculations - Dual'!$AU$5:$AU$105</c:f>
              <c:numCache>
                <c:formatCode>0.000</c:formatCode>
                <c:ptCount val="101"/>
                <c:pt idx="0">
                  <c:v>9.6666666666666672E-3</c:v>
                </c:pt>
                <c:pt idx="1">
                  <c:v>2.6293103448275866E-2</c:v>
                </c:pt>
                <c:pt idx="2">
                  <c:v>5.2586206896551732E-2</c:v>
                </c:pt>
                <c:pt idx="3">
                  <c:v>7.8879310344827563E-2</c:v>
                </c:pt>
                <c:pt idx="4">
                  <c:v>0.10517241379310346</c:v>
                </c:pt>
                <c:pt idx="5">
                  <c:v>0.13146551724137931</c:v>
                </c:pt>
                <c:pt idx="6">
                  <c:v>0.15775862068965513</c:v>
                </c:pt>
                <c:pt idx="7">
                  <c:v>0.18405172413793108</c:v>
                </c:pt>
                <c:pt idx="8">
                  <c:v>0.21034482758620693</c:v>
                </c:pt>
                <c:pt idx="9">
                  <c:v>0.243043013698518</c:v>
                </c:pt>
                <c:pt idx="10">
                  <c:v>0.28465536765882254</c:v>
                </c:pt>
                <c:pt idx="11">
                  <c:v>0.32840397510767078</c:v>
                </c:pt>
                <c:pt idx="12">
                  <c:v>0.37418919835599251</c:v>
                </c:pt>
                <c:pt idx="13">
                  <c:v>0.41763221459397337</c:v>
                </c:pt>
                <c:pt idx="14">
                  <c:v>0.43339743115682322</c:v>
                </c:pt>
                <c:pt idx="15">
                  <c:v>0.44860896112315896</c:v>
                </c:pt>
                <c:pt idx="16">
                  <c:v>0.46332134277050807</c:v>
                </c:pt>
                <c:pt idx="17">
                  <c:v>0.47758070871145258</c:v>
                </c:pt>
                <c:pt idx="18">
                  <c:v>0.49142649501222457</c:v>
                </c:pt>
                <c:pt idx="19">
                  <c:v>0.5048927278805535</c:v>
                </c:pt>
                <c:pt idx="20">
                  <c:v>0.51800900893066837</c:v>
                </c:pt>
                <c:pt idx="21">
                  <c:v>0.53080128108360858</c:v>
                </c:pt>
                <c:pt idx="22">
                  <c:v>0.51881858892873667</c:v>
                </c:pt>
                <c:pt idx="23">
                  <c:v>0.50741458997704258</c:v>
                </c:pt>
                <c:pt idx="24">
                  <c:v>0.49673098104826463</c:v>
                </c:pt>
                <c:pt idx="25">
                  <c:v>0.48669497720013993</c:v>
                </c:pt>
                <c:pt idx="26">
                  <c:v>0.47724368959829022</c:v>
                </c:pt>
                <c:pt idx="27">
                  <c:v>0.46832246016623258</c:v>
                </c:pt>
                <c:pt idx="28">
                  <c:v>0.45988352643422187</c:v>
                </c:pt>
                <c:pt idx="29">
                  <c:v>0.45188494190126266</c:v>
                </c:pt>
                <c:pt idx="30">
                  <c:v>0.44428969606163188</c:v>
                </c:pt>
                <c:pt idx="31">
                  <c:v>0.43706499187472708</c:v>
                </c:pt>
                <c:pt idx="32">
                  <c:v>0.4301816484345638</c:v>
                </c:pt>
                <c:pt idx="33">
                  <c:v>0.42361360398206083</c:v>
                </c:pt>
                <c:pt idx="34">
                  <c:v>0.41733749992894792</c:v>
                </c:pt>
                <c:pt idx="35">
                  <c:v>0.41133233073569658</c:v>
                </c:pt>
                <c:pt idx="36">
                  <c:v>0.55963302752293587</c:v>
                </c:pt>
                <c:pt idx="37">
                  <c:v>0.55963302752293576</c:v>
                </c:pt>
                <c:pt idx="38">
                  <c:v>0.55963302752293576</c:v>
                </c:pt>
                <c:pt idx="39">
                  <c:v>0.55963302752293576</c:v>
                </c:pt>
                <c:pt idx="40">
                  <c:v>0.55963302752293576</c:v>
                </c:pt>
                <c:pt idx="41">
                  <c:v>0.55963302752293576</c:v>
                </c:pt>
                <c:pt idx="42">
                  <c:v>0.55963302752293587</c:v>
                </c:pt>
                <c:pt idx="43">
                  <c:v>0.55963302752293576</c:v>
                </c:pt>
                <c:pt idx="44">
                  <c:v>0.55963302752293587</c:v>
                </c:pt>
                <c:pt idx="45">
                  <c:v>0.55963302752293576</c:v>
                </c:pt>
                <c:pt idx="46">
                  <c:v>0.55963302752293576</c:v>
                </c:pt>
                <c:pt idx="47">
                  <c:v>0.55963302752293576</c:v>
                </c:pt>
                <c:pt idx="48">
                  <c:v>0.55963302752293576</c:v>
                </c:pt>
                <c:pt idx="49">
                  <c:v>0.55963302752293576</c:v>
                </c:pt>
                <c:pt idx="50">
                  <c:v>0.55963302752293576</c:v>
                </c:pt>
                <c:pt idx="51">
                  <c:v>0.55963302752293576</c:v>
                </c:pt>
                <c:pt idx="52">
                  <c:v>0.55963302752293576</c:v>
                </c:pt>
                <c:pt idx="53">
                  <c:v>0.55963302752293576</c:v>
                </c:pt>
                <c:pt idx="54">
                  <c:v>0.55963302752293576</c:v>
                </c:pt>
                <c:pt idx="55">
                  <c:v>0.55963302752293587</c:v>
                </c:pt>
                <c:pt idx="56">
                  <c:v>0.55963302752293587</c:v>
                </c:pt>
                <c:pt idx="57">
                  <c:v>0.55963302752293576</c:v>
                </c:pt>
                <c:pt idx="58">
                  <c:v>0.55963302752293576</c:v>
                </c:pt>
                <c:pt idx="59">
                  <c:v>0.55963302752293564</c:v>
                </c:pt>
                <c:pt idx="60">
                  <c:v>0.55963302752293587</c:v>
                </c:pt>
                <c:pt idx="61">
                  <c:v>0.55963302752293587</c:v>
                </c:pt>
                <c:pt idx="62">
                  <c:v>0.55963302752293564</c:v>
                </c:pt>
                <c:pt idx="63">
                  <c:v>0.55963302752293587</c:v>
                </c:pt>
                <c:pt idx="64">
                  <c:v>0.55775468699969999</c:v>
                </c:pt>
                <c:pt idx="65">
                  <c:v>0.55399077228972715</c:v>
                </c:pt>
                <c:pt idx="66">
                  <c:v>0.5502792204725665</c:v>
                </c:pt>
                <c:pt idx="67">
                  <c:v>0.54661894640191977</c:v>
                </c:pt>
                <c:pt idx="68">
                  <c:v>0.54300889470992941</c:v>
                </c:pt>
                <c:pt idx="69">
                  <c:v>0.53944803879266956</c:v>
                </c:pt>
                <c:pt idx="70">
                  <c:v>0.53593537983682982</c:v>
                </c:pt>
                <c:pt idx="71">
                  <c:v>0.53246994588565799</c:v>
                </c:pt>
                <c:pt idx="72">
                  <c:v>0.52905079094232121</c:v>
                </c:pt>
                <c:pt idx="73">
                  <c:v>0.52567699410895352</c:v>
                </c:pt>
                <c:pt idx="74">
                  <c:v>0.52234765875974121</c:v>
                </c:pt>
                <c:pt idx="75">
                  <c:v>0.51906191174648597</c:v>
                </c:pt>
                <c:pt idx="76">
                  <c:v>0.51581890263516728</c:v>
                </c:pt>
                <c:pt idx="77">
                  <c:v>0.51261780297210457</c:v>
                </c:pt>
                <c:pt idx="78">
                  <c:v>0.50945780557838527</c:v>
                </c:pt>
                <c:pt idx="79">
                  <c:v>0.50633812387129862</c:v>
                </c:pt>
                <c:pt idx="80">
                  <c:v>0.50325799121157644</c:v>
                </c:pt>
                <c:pt idx="81">
                  <c:v>0.50021666027530376</c:v>
                </c:pt>
                <c:pt idx="82">
                  <c:v>0.49721340244941759</c:v>
                </c:pt>
                <c:pt idx="83">
                  <c:v>0.49424750724976574</c:v>
                </c:pt>
                <c:pt idx="84">
                  <c:v>0.49131828176075254</c:v>
                </c:pt>
                <c:pt idx="85">
                  <c:v>0.48842505009563991</c:v>
                </c:pt>
                <c:pt idx="86">
                  <c:v>0.48556715287662255</c:v>
                </c:pt>
                <c:pt idx="87">
                  <c:v>0.48274394673383686</c:v>
                </c:pt>
                <c:pt idx="88">
                  <c:v>0.47995480382250283</c:v>
                </c:pt>
                <c:pt idx="89">
                  <c:v>0.47719911135744086</c:v>
                </c:pt>
                <c:pt idx="90">
                  <c:v>0.47447627116423485</c:v>
                </c:pt>
                <c:pt idx="91">
                  <c:v>0.47178569924635255</c:v>
                </c:pt>
                <c:pt idx="92">
                  <c:v>0.46912682536756695</c:v>
                </c:pt>
                <c:pt idx="93">
                  <c:v>0.4664990926490486</c:v>
                </c:pt>
                <c:pt idx="94">
                  <c:v>0.46390195718053245</c:v>
                </c:pt>
                <c:pt idx="95">
                  <c:v>0.46133488764498931</c:v>
                </c:pt>
                <c:pt idx="96">
                  <c:v>0.45879736495625684</c:v>
                </c:pt>
                <c:pt idx="97">
                  <c:v>0.45628888190911171</c:v>
                </c:pt>
                <c:pt idx="98">
                  <c:v>0.4538089428412872</c:v>
                </c:pt>
                <c:pt idx="99">
                  <c:v>0.45135706330696285</c:v>
                </c:pt>
                <c:pt idx="100">
                  <c:v>0.44893276976127555</c:v>
                </c:pt>
              </c:numCache>
            </c:numRef>
          </c:val>
          <c:smooth val="0"/>
        </c:ser>
        <c:ser>
          <c:idx val="7"/>
          <c:order val="7"/>
          <c:spPr>
            <a:ln w="25400">
              <a:solidFill>
                <a:srgbClr val="00B050"/>
              </a:solidFill>
              <a:prstDash val="dash"/>
            </a:ln>
          </c:spPr>
          <c:marker>
            <c:symbol val="none"/>
          </c:marker>
          <c:val>
            <c:numRef>
              <c:f>'Calculations - Dual'!$AU$110:$AU$210</c:f>
              <c:numCache>
                <c:formatCode>0.000</c:formatCode>
                <c:ptCount val="101"/>
                <c:pt idx="0">
                  <c:v>1.6571428571428574E-2</c:v>
                </c:pt>
                <c:pt idx="1">
                  <c:v>4.5073891625615765E-2</c:v>
                </c:pt>
                <c:pt idx="2">
                  <c:v>9.0147783251231531E-2</c:v>
                </c:pt>
                <c:pt idx="3">
                  <c:v>0.13522167487684725</c:v>
                </c:pt>
                <c:pt idx="4">
                  <c:v>0.18029556650246306</c:v>
                </c:pt>
                <c:pt idx="5">
                  <c:v>0.22536945812807882</c:v>
                </c:pt>
                <c:pt idx="6">
                  <c:v>0.2704433497536945</c:v>
                </c:pt>
                <c:pt idx="7">
                  <c:v>0.31551724137931036</c:v>
                </c:pt>
                <c:pt idx="8">
                  <c:v>0.36059113300492612</c:v>
                </c:pt>
                <c:pt idx="9">
                  <c:v>0.41664516634031651</c:v>
                </c:pt>
                <c:pt idx="10">
                  <c:v>0.48798063027226718</c:v>
                </c:pt>
                <c:pt idx="11">
                  <c:v>0.56297824304172139</c:v>
                </c:pt>
                <c:pt idx="12">
                  <c:v>0.71530005581305023</c:v>
                </c:pt>
                <c:pt idx="13">
                  <c:v>0.68539325842696619</c:v>
                </c:pt>
                <c:pt idx="14">
                  <c:v>0.68539325842696619</c:v>
                </c:pt>
                <c:pt idx="15">
                  <c:v>0.6853932584269663</c:v>
                </c:pt>
                <c:pt idx="16">
                  <c:v>0.6853932584269663</c:v>
                </c:pt>
                <c:pt idx="17">
                  <c:v>0.6853932584269663</c:v>
                </c:pt>
                <c:pt idx="18">
                  <c:v>0.68539325842696619</c:v>
                </c:pt>
                <c:pt idx="19">
                  <c:v>0.68539325842696641</c:v>
                </c:pt>
                <c:pt idx="20">
                  <c:v>0.68539325842696641</c:v>
                </c:pt>
                <c:pt idx="21">
                  <c:v>0.6853932584269663</c:v>
                </c:pt>
                <c:pt idx="22">
                  <c:v>0.68539325842696608</c:v>
                </c:pt>
                <c:pt idx="23">
                  <c:v>0.6853932584269663</c:v>
                </c:pt>
                <c:pt idx="24">
                  <c:v>0.6853932584269663</c:v>
                </c:pt>
                <c:pt idx="25">
                  <c:v>0.6853932584269663</c:v>
                </c:pt>
                <c:pt idx="26">
                  <c:v>0.68539325842696619</c:v>
                </c:pt>
                <c:pt idx="27">
                  <c:v>0.6853932584269663</c:v>
                </c:pt>
                <c:pt idx="28">
                  <c:v>0.68539325842696619</c:v>
                </c:pt>
                <c:pt idx="29">
                  <c:v>0.6853932584269663</c:v>
                </c:pt>
                <c:pt idx="30">
                  <c:v>0.6853932584269663</c:v>
                </c:pt>
                <c:pt idx="31">
                  <c:v>0.6853932584269663</c:v>
                </c:pt>
                <c:pt idx="32">
                  <c:v>0.6853932584269663</c:v>
                </c:pt>
                <c:pt idx="33">
                  <c:v>0.6853932584269663</c:v>
                </c:pt>
                <c:pt idx="34">
                  <c:v>0.6853932584269663</c:v>
                </c:pt>
                <c:pt idx="35">
                  <c:v>0.6853932584269663</c:v>
                </c:pt>
                <c:pt idx="36">
                  <c:v>0.68539325842696619</c:v>
                </c:pt>
                <c:pt idx="37">
                  <c:v>0.6853932584269663</c:v>
                </c:pt>
                <c:pt idx="38">
                  <c:v>0.68539325842696641</c:v>
                </c:pt>
                <c:pt idx="39">
                  <c:v>0.6853932584269663</c:v>
                </c:pt>
                <c:pt idx="40">
                  <c:v>0.68539325842696641</c:v>
                </c:pt>
                <c:pt idx="41">
                  <c:v>0.6853932584269663</c:v>
                </c:pt>
                <c:pt idx="42">
                  <c:v>0.6853932584269663</c:v>
                </c:pt>
                <c:pt idx="43">
                  <c:v>0.6853932584269663</c:v>
                </c:pt>
                <c:pt idx="44">
                  <c:v>0.68539325842696608</c:v>
                </c:pt>
                <c:pt idx="45">
                  <c:v>0.6853932584269663</c:v>
                </c:pt>
                <c:pt idx="46">
                  <c:v>0.68246166949775544</c:v>
                </c:pt>
                <c:pt idx="47">
                  <c:v>0.67786180325267431</c:v>
                </c:pt>
                <c:pt idx="48">
                  <c:v>0.67332678364439613</c:v>
                </c:pt>
                <c:pt idx="49">
                  <c:v>0.66885524900729698</c:v>
                </c:pt>
                <c:pt idx="50">
                  <c:v>0.66444587553421919</c:v>
                </c:pt>
                <c:pt idx="51">
                  <c:v>0.66009737596982643</c:v>
                </c:pt>
                <c:pt idx="52">
                  <c:v>0.65580849835770538</c:v>
                </c:pt>
                <c:pt idx="53">
                  <c:v>0.65157802483865213</c:v>
                </c:pt>
                <c:pt idx="54">
                  <c:v>0.64740477049771972</c:v>
                </c:pt>
                <c:pt idx="55">
                  <c:v>0.6432875822577333</c:v>
                </c:pt>
                <c:pt idx="56">
                  <c:v>0.63922533781710422</c:v>
                </c:pt>
                <c:pt idx="57">
                  <c:v>0.6352169446298872</c:v>
                </c:pt>
                <c:pt idx="58">
                  <c:v>0.63126133892613134</c:v>
                </c:pt>
                <c:pt idx="59">
                  <c:v>0.62735748477068332</c:v>
                </c:pt>
                <c:pt idx="60">
                  <c:v>0.62350437315869156</c:v>
                </c:pt>
                <c:pt idx="61">
                  <c:v>0.61970102114615189</c:v>
                </c:pt>
                <c:pt idx="62">
                  <c:v>0.61594647101392253</c:v>
                </c:pt>
                <c:pt idx="63">
                  <c:v>0.61223978946371427</c:v>
                </c:pt>
                <c:pt idx="64">
                  <c:v>0.60858006684463728</c:v>
                </c:pt>
                <c:pt idx="65">
                  <c:v>0.60496641640895998</c:v>
                </c:pt>
                <c:pt idx="66">
                  <c:v>0.60139797359579905</c:v>
                </c:pt>
                <c:pt idx="67">
                  <c:v>0.59787389534152524</c:v>
                </c:pt>
                <c:pt idx="68">
                  <c:v>0.59439335941573312</c:v>
                </c:pt>
                <c:pt idx="69">
                  <c:v>0.59095556378166925</c:v>
                </c:pt>
                <c:pt idx="70">
                  <c:v>0.58755972598008177</c:v>
                </c:pt>
                <c:pt idx="71">
                  <c:v>0.58420508253549075</c:v>
                </c:pt>
                <c:pt idx="72">
                  <c:v>0.58089088838393721</c:v>
                </c:pt>
                <c:pt idx="73">
                  <c:v>0.57761641632130667</c:v>
                </c:pt>
                <c:pt idx="74">
                  <c:v>0.57438095647137244</c:v>
                </c:pt>
                <c:pt idx="75">
                  <c:v>0.57118381577273836</c:v>
                </c:pt>
                <c:pt idx="76">
                  <c:v>0.56802431748390358</c:v>
                </c:pt>
                <c:pt idx="77">
                  <c:v>0.56490180070570706</c:v>
                </c:pt>
                <c:pt idx="78">
                  <c:v>0.56181561992044426</c:v>
                </c:pt>
                <c:pt idx="79">
                  <c:v>0.5587651445469789</c:v>
                </c:pt>
                <c:pt idx="80">
                  <c:v>0.55574975851120823</c:v>
                </c:pt>
                <c:pt idx="81">
                  <c:v>0.55276885983126645</c:v>
                </c:pt>
                <c:pt idx="82">
                  <c:v>0.54982186021687873</c:v>
                </c:pt>
                <c:pt idx="83">
                  <c:v>0.54690818468230651</c:v>
                </c:pt>
                <c:pt idx="84">
                  <c:v>0.54402727117235006</c:v>
                </c:pt>
                <c:pt idx="85">
                  <c:v>0.54117857020089555</c:v>
                </c:pt>
                <c:pt idx="86">
                  <c:v>0.53836154450151941</c:v>
                </c:pt>
                <c:pt idx="87">
                  <c:v>0.53557566868968409</c:v>
                </c:pt>
                <c:pt idx="88">
                  <c:v>0.53282042893607739</c:v>
                </c:pt>
                <c:pt idx="89">
                  <c:v>0.5300953226506695</c:v>
                </c:pt>
                <c:pt idx="90">
                  <c:v>0.52739985817708068</c:v>
                </c:pt>
                <c:pt idx="91">
                  <c:v>0.52473355449686765</c:v>
                </c:pt>
                <c:pt idx="92">
                  <c:v>0.52209594094335687</c:v>
                </c:pt>
                <c:pt idx="93">
                  <c:v>0.51948655692466372</c:v>
                </c:pt>
                <c:pt idx="94">
                  <c:v>0.51690495165556127</c:v>
                </c:pt>
                <c:pt idx="95">
                  <c:v>0.5143506838978632</c:v>
                </c:pt>
                <c:pt idx="96">
                  <c:v>0.51182332170901446</c:v>
                </c:pt>
                <c:pt idx="97">
                  <c:v>0.50932244219858125</c:v>
                </c:pt>
                <c:pt idx="98">
                  <c:v>0.50684763129235977</c:v>
                </c:pt>
                <c:pt idx="99">
                  <c:v>0.50439848350381977</c:v>
                </c:pt>
                <c:pt idx="100">
                  <c:v>0.50197460171262476</c:v>
                </c:pt>
              </c:numCache>
            </c:numRef>
          </c:val>
          <c:smooth val="0"/>
        </c:ser>
        <c:ser>
          <c:idx val="8"/>
          <c:order val="8"/>
          <c:spPr>
            <a:ln w="25400">
              <a:solidFill>
                <a:srgbClr val="FF0000"/>
              </a:solidFill>
            </a:ln>
          </c:spPr>
          <c:marker>
            <c:symbol val="none"/>
          </c:marker>
          <c:val>
            <c:numRef>
              <c:f>'Calculations - Dual'!$AU$216:$AU$316</c:f>
              <c:numCache>
                <c:formatCode>0.000</c:formatCode>
                <c:ptCount val="101"/>
                <c:pt idx="0">
                  <c:v>4.8333333333333336E-3</c:v>
                </c:pt>
                <c:pt idx="1">
                  <c:v>1.3146551724137933E-2</c:v>
                </c:pt>
                <c:pt idx="2">
                  <c:v>2.6293103448275866E-2</c:v>
                </c:pt>
                <c:pt idx="3">
                  <c:v>3.9439655172413782E-2</c:v>
                </c:pt>
                <c:pt idx="4">
                  <c:v>5.2586206896551732E-2</c:v>
                </c:pt>
                <c:pt idx="5">
                  <c:v>6.5732758620689655E-2</c:v>
                </c:pt>
                <c:pt idx="6">
                  <c:v>7.8879310344827563E-2</c:v>
                </c:pt>
                <c:pt idx="7">
                  <c:v>9.2025862068965542E-2</c:v>
                </c:pt>
                <c:pt idx="8">
                  <c:v>0.10517241379310346</c:v>
                </c:pt>
                <c:pt idx="9">
                  <c:v>0.121521506849259</c:v>
                </c:pt>
                <c:pt idx="10">
                  <c:v>0.14232768382941127</c:v>
                </c:pt>
                <c:pt idx="11">
                  <c:v>0.16420198755383539</c:v>
                </c:pt>
                <c:pt idx="12">
                  <c:v>0.18709459917799626</c:v>
                </c:pt>
                <c:pt idx="13">
                  <c:v>0.20881610729698669</c:v>
                </c:pt>
                <c:pt idx="14">
                  <c:v>0.21669871557841161</c:v>
                </c:pt>
                <c:pt idx="15">
                  <c:v>0.22430448056157948</c:v>
                </c:pt>
                <c:pt idx="16">
                  <c:v>0.23166067138525404</c:v>
                </c:pt>
                <c:pt idx="17">
                  <c:v>0.23879035435572629</c:v>
                </c:pt>
                <c:pt idx="18">
                  <c:v>0.24571324750611229</c:v>
                </c:pt>
                <c:pt idx="19">
                  <c:v>0.25244636394027675</c:v>
                </c:pt>
                <c:pt idx="20">
                  <c:v>0.25900450446533418</c:v>
                </c:pt>
                <c:pt idx="21">
                  <c:v>0.26540064054180429</c:v>
                </c:pt>
                <c:pt idx="22">
                  <c:v>0.27164621599916811</c:v>
                </c:pt>
                <c:pt idx="23">
                  <c:v>0.27775138763529761</c:v>
                </c:pt>
                <c:pt idx="24">
                  <c:v>0.2837252191822221</c:v>
                </c:pt>
                <c:pt idx="25">
                  <c:v>0.28957583923156754</c:v>
                </c:pt>
                <c:pt idx="26">
                  <c:v>0.29531057098135405</c:v>
                </c:pt>
                <c:pt idx="27">
                  <c:v>0.30093603971608324</c:v>
                </c:pt>
                <c:pt idx="28">
                  <c:v>0.30645826251981961</c:v>
                </c:pt>
                <c:pt idx="29">
                  <c:v>0.31188272368525533</c:v>
                </c:pt>
                <c:pt idx="30">
                  <c:v>0.31721443851123793</c:v>
                </c:pt>
                <c:pt idx="31">
                  <c:v>0.32245800760202359</c:v>
                </c:pt>
                <c:pt idx="32">
                  <c:v>0.32761766334148312</c:v>
                </c:pt>
                <c:pt idx="33">
                  <c:v>0.33269730987791291</c:v>
                </c:pt>
                <c:pt idx="34">
                  <c:v>0.33770055769374541</c:v>
                </c:pt>
                <c:pt idx="35">
                  <c:v>0.34263075363039636</c:v>
                </c:pt>
                <c:pt idx="36">
                  <c:v>0.34749100707788111</c:v>
                </c:pt>
                <c:pt idx="37">
                  <c:v>0.35228421291148809</c:v>
                </c:pt>
                <c:pt idx="38">
                  <c:v>0.35701307165611368</c:v>
                </c:pt>
                <c:pt idx="39">
                  <c:v>0.36168010727713518</c:v>
                </c:pt>
                <c:pt idx="40">
                  <c:v>0.36628768293059849</c:v>
                </c:pt>
                <c:pt idx="41">
                  <c:v>0.36636892227161671</c:v>
                </c:pt>
                <c:pt idx="42">
                  <c:v>0.36198111222315438</c:v>
                </c:pt>
                <c:pt idx="43">
                  <c:v>0.35774726935610079</c:v>
                </c:pt>
                <c:pt idx="44">
                  <c:v>0.35365859485542833</c:v>
                </c:pt>
                <c:pt idx="45">
                  <c:v>0.38853503184713373</c:v>
                </c:pt>
                <c:pt idx="46">
                  <c:v>0.38853503184713378</c:v>
                </c:pt>
                <c:pt idx="47">
                  <c:v>0.38853503184713373</c:v>
                </c:pt>
                <c:pt idx="48">
                  <c:v>0.38853503184713378</c:v>
                </c:pt>
                <c:pt idx="49">
                  <c:v>0.38853503184713378</c:v>
                </c:pt>
                <c:pt idx="50">
                  <c:v>0.38853503184713367</c:v>
                </c:pt>
                <c:pt idx="51">
                  <c:v>0.38853503184713378</c:v>
                </c:pt>
                <c:pt idx="52">
                  <c:v>0.38853503184713373</c:v>
                </c:pt>
                <c:pt idx="53">
                  <c:v>0.38853503184713378</c:v>
                </c:pt>
                <c:pt idx="54">
                  <c:v>0.38853503184713378</c:v>
                </c:pt>
                <c:pt idx="55">
                  <c:v>0.38853503184713378</c:v>
                </c:pt>
                <c:pt idx="56">
                  <c:v>0.38853503184713378</c:v>
                </c:pt>
                <c:pt idx="57">
                  <c:v>0.38853503184713378</c:v>
                </c:pt>
                <c:pt idx="58">
                  <c:v>0.38853503184713373</c:v>
                </c:pt>
                <c:pt idx="59">
                  <c:v>0.38853503184713373</c:v>
                </c:pt>
                <c:pt idx="60">
                  <c:v>0.38853503184713378</c:v>
                </c:pt>
                <c:pt idx="61">
                  <c:v>0.38853503184713378</c:v>
                </c:pt>
                <c:pt idx="62">
                  <c:v>0.38853503184713373</c:v>
                </c:pt>
                <c:pt idx="63">
                  <c:v>0.38853503184713378</c:v>
                </c:pt>
                <c:pt idx="64">
                  <c:v>0.38853503184713384</c:v>
                </c:pt>
                <c:pt idx="65">
                  <c:v>0.38853503184713378</c:v>
                </c:pt>
                <c:pt idx="66">
                  <c:v>0.38853503184713389</c:v>
                </c:pt>
                <c:pt idx="67">
                  <c:v>0.38853503184713373</c:v>
                </c:pt>
                <c:pt idx="68">
                  <c:v>0.38853503184713378</c:v>
                </c:pt>
                <c:pt idx="69">
                  <c:v>0.38853503184713378</c:v>
                </c:pt>
                <c:pt idx="70">
                  <c:v>0.38853503184713378</c:v>
                </c:pt>
                <c:pt idx="71">
                  <c:v>0.38853503184713373</c:v>
                </c:pt>
                <c:pt idx="72">
                  <c:v>0.38853503184713378</c:v>
                </c:pt>
                <c:pt idx="73">
                  <c:v>0.38853503184713378</c:v>
                </c:pt>
                <c:pt idx="74">
                  <c:v>0.38853503184713373</c:v>
                </c:pt>
                <c:pt idx="75">
                  <c:v>0.38853503184713373</c:v>
                </c:pt>
                <c:pt idx="76">
                  <c:v>0.38853503184713384</c:v>
                </c:pt>
                <c:pt idx="77">
                  <c:v>0.38853503184713378</c:v>
                </c:pt>
                <c:pt idx="78">
                  <c:v>0.38853503184713367</c:v>
                </c:pt>
                <c:pt idx="79">
                  <c:v>0.38853503184713373</c:v>
                </c:pt>
                <c:pt idx="80">
                  <c:v>0.38853503184713373</c:v>
                </c:pt>
                <c:pt idx="81">
                  <c:v>0.38853503184713378</c:v>
                </c:pt>
                <c:pt idx="82">
                  <c:v>0.38853503184713373</c:v>
                </c:pt>
                <c:pt idx="83">
                  <c:v>0.38853503184713373</c:v>
                </c:pt>
                <c:pt idx="84">
                  <c:v>0.38853503184713373</c:v>
                </c:pt>
                <c:pt idx="85">
                  <c:v>0.38853503184713378</c:v>
                </c:pt>
                <c:pt idx="86">
                  <c:v>0.38853503184713378</c:v>
                </c:pt>
                <c:pt idx="87">
                  <c:v>0.38853503184713367</c:v>
                </c:pt>
                <c:pt idx="88">
                  <c:v>0.38853503184713378</c:v>
                </c:pt>
                <c:pt idx="89">
                  <c:v>0.3863758884605476</c:v>
                </c:pt>
                <c:pt idx="90">
                  <c:v>0.3837741557594298</c:v>
                </c:pt>
                <c:pt idx="91">
                  <c:v>0.38120817472953877</c:v>
                </c:pt>
                <c:pt idx="92">
                  <c:v>0.37867721347793454</c:v>
                </c:pt>
                <c:pt idx="93">
                  <c:v>0.37618055995361138</c:v>
                </c:pt>
                <c:pt idx="94">
                  <c:v>0.37371752127962055</c:v>
                </c:pt>
                <c:pt idx="95">
                  <c:v>0.37128742311198809</c:v>
                </c:pt>
                <c:pt idx="96">
                  <c:v>0.36888960902418527</c:v>
                </c:pt>
                <c:pt idx="97">
                  <c:v>0.36652343991596703</c:v>
                </c:pt>
                <c:pt idx="98">
                  <c:v>0.36418829344546416</c:v>
                </c:pt>
                <c:pt idx="99">
                  <c:v>0.36188356348346656</c:v>
                </c:pt>
                <c:pt idx="100">
                  <c:v>0.35960865958889299</c:v>
                </c:pt>
              </c:numCache>
            </c:numRef>
          </c:val>
          <c:smooth val="0"/>
        </c:ser>
        <c:dLbls>
          <c:showLegendKey val="0"/>
          <c:showVal val="0"/>
          <c:showCatName val="0"/>
          <c:showSerName val="0"/>
          <c:showPercent val="0"/>
          <c:showBubbleSize val="0"/>
        </c:dLbls>
        <c:marker val="1"/>
        <c:smooth val="0"/>
        <c:axId val="132602880"/>
        <c:axId val="132600960"/>
      </c:lineChart>
      <c:catAx>
        <c:axId val="132576384"/>
        <c:scaling>
          <c:orientation val="minMax"/>
        </c:scaling>
        <c:delete val="0"/>
        <c:axPos val="b"/>
        <c:majorGridlines>
          <c:spPr>
            <a:ln w="15875">
              <a:solidFill>
                <a:srgbClr val="969696"/>
              </a:solidFill>
              <a:prstDash val="sysDash"/>
            </a:ln>
          </c:spPr>
        </c:majorGridlines>
        <c:title>
          <c:tx>
            <c:rich>
              <a:bodyPr/>
              <a:lstStyle/>
              <a:p>
                <a:pPr>
                  <a:defRPr sz="1100" b="1" i="0" u="none" strike="noStrike" baseline="0">
                    <a:solidFill>
                      <a:schemeClr val="tx1"/>
                    </a:solidFill>
                    <a:latin typeface="Arial" pitchFamily="34" charset="0"/>
                    <a:ea typeface="Calibri"/>
                    <a:cs typeface="Arial" pitchFamily="34" charset="0"/>
                  </a:defRPr>
                </a:pPr>
                <a:r>
                  <a:rPr lang="en-US" sz="1600" b="1" i="0" baseline="0">
                    <a:effectLst/>
                  </a:rPr>
                  <a:t>% Total Rated Output Power</a:t>
                </a:r>
                <a:endParaRPr lang="en-US" sz="1100">
                  <a:effectLst/>
                </a:endParaRPr>
              </a:p>
            </c:rich>
          </c:tx>
          <c:layout>
            <c:manualLayout>
              <c:xMode val="edge"/>
              <c:yMode val="edge"/>
              <c:x val="0.38070688614495507"/>
              <c:y val="0.93853774450069472"/>
            </c:manualLayout>
          </c:layout>
          <c:overlay val="0"/>
          <c:spPr>
            <a:noFill/>
            <a:ln w="25400">
              <a:noFill/>
            </a:ln>
          </c:spPr>
        </c:title>
        <c:numFmt formatCode="General" sourceLinked="1"/>
        <c:majorTickMark val="in"/>
        <c:minorTickMark val="in"/>
        <c:tickLblPos val="nextTo"/>
        <c:spPr>
          <a:ln w="3175">
            <a:solidFill>
              <a:schemeClr val="tx1"/>
            </a:solidFill>
            <a:prstDash val="solid"/>
          </a:ln>
        </c:spPr>
        <c:txPr>
          <a:bodyPr rot="0" vert="horz"/>
          <a:lstStyle/>
          <a:p>
            <a:pPr>
              <a:defRPr sz="1400" b="1" i="0" u="none" strike="noStrike" baseline="0">
                <a:solidFill>
                  <a:schemeClr val="tx1"/>
                </a:solidFill>
                <a:latin typeface="Arial" pitchFamily="34" charset="0"/>
                <a:ea typeface="Calibri"/>
                <a:cs typeface="Arial" pitchFamily="34" charset="0"/>
              </a:defRPr>
            </a:pPr>
            <a:endParaRPr lang="ko-KR"/>
          </a:p>
        </c:txPr>
        <c:crossAx val="132578304"/>
        <c:crosses val="autoZero"/>
        <c:auto val="1"/>
        <c:lblAlgn val="ctr"/>
        <c:lblOffset val="100"/>
        <c:tickLblSkip val="20"/>
        <c:tickMarkSkip val="10"/>
        <c:noMultiLvlLbl val="0"/>
      </c:catAx>
      <c:valAx>
        <c:axId val="132578304"/>
        <c:scaling>
          <c:orientation val="minMax"/>
          <c:max val="400"/>
          <c:min val="0"/>
        </c:scaling>
        <c:delete val="0"/>
        <c:axPos val="l"/>
        <c:majorGridlines>
          <c:spPr>
            <a:ln w="15875">
              <a:solidFill>
                <a:srgbClr val="808080"/>
              </a:solidFill>
              <a:prstDash val="solid"/>
            </a:ln>
          </c:spPr>
        </c:majorGridlines>
        <c:title>
          <c:tx>
            <c:rich>
              <a:bodyPr/>
              <a:lstStyle/>
              <a:p>
                <a:pPr>
                  <a:defRPr sz="1600" b="1" i="0" u="none" strike="noStrike" baseline="0">
                    <a:solidFill>
                      <a:schemeClr val="tx1"/>
                    </a:solidFill>
                    <a:latin typeface="Arial" pitchFamily="34" charset="0"/>
                    <a:ea typeface="Calibri"/>
                    <a:cs typeface="Arial" pitchFamily="34" charset="0"/>
                  </a:defRPr>
                </a:pPr>
                <a:r>
                  <a:rPr lang="en-US" sz="1600" b="1">
                    <a:solidFill>
                      <a:schemeClr val="tx1"/>
                    </a:solidFill>
                    <a:latin typeface="Arial" pitchFamily="34" charset="0"/>
                    <a:cs typeface="Arial" pitchFamily="34" charset="0"/>
                  </a:rPr>
                  <a:t>Switching</a:t>
                </a:r>
                <a:r>
                  <a:rPr lang="en-US" sz="1600" b="1" baseline="0">
                    <a:solidFill>
                      <a:schemeClr val="tx1"/>
                    </a:solidFill>
                    <a:latin typeface="Arial" pitchFamily="34" charset="0"/>
                    <a:cs typeface="Arial" pitchFamily="34" charset="0"/>
                  </a:rPr>
                  <a:t> Frquency (kHz)</a:t>
                </a:r>
                <a:endParaRPr lang="en-US" sz="1600" b="1">
                  <a:solidFill>
                    <a:schemeClr val="tx1"/>
                  </a:solidFill>
                  <a:latin typeface="Arial" pitchFamily="34" charset="0"/>
                  <a:cs typeface="Arial" pitchFamily="34" charset="0"/>
                </a:endParaRPr>
              </a:p>
            </c:rich>
          </c:tx>
          <c:layout>
            <c:manualLayout>
              <c:xMode val="edge"/>
              <c:yMode val="edge"/>
              <c:x val="8.5568128125503556E-3"/>
              <c:y val="0.22463146285493288"/>
            </c:manualLayout>
          </c:layout>
          <c:overlay val="0"/>
          <c:spPr>
            <a:noFill/>
            <a:ln w="25400">
              <a:noFill/>
            </a:ln>
          </c:spPr>
        </c:title>
        <c:numFmt formatCode="#,##0" sourceLinked="0"/>
        <c:majorTickMark val="in"/>
        <c:minorTickMark val="in"/>
        <c:tickLblPos val="nextTo"/>
        <c:spPr>
          <a:ln w="3175">
            <a:solidFill>
              <a:srgbClr val="000000"/>
            </a:solidFill>
            <a:prstDash val="solid"/>
          </a:ln>
        </c:spPr>
        <c:txPr>
          <a:bodyPr rot="0" vert="horz"/>
          <a:lstStyle/>
          <a:p>
            <a:pPr>
              <a:defRPr sz="1600" b="1" i="0" u="none" strike="noStrike" baseline="0">
                <a:solidFill>
                  <a:schemeClr val="tx1"/>
                </a:solidFill>
                <a:latin typeface="Arial" pitchFamily="34" charset="0"/>
                <a:ea typeface="Calibri"/>
                <a:cs typeface="Arial" pitchFamily="34" charset="0"/>
              </a:defRPr>
            </a:pPr>
            <a:endParaRPr lang="ko-KR"/>
          </a:p>
        </c:txPr>
        <c:crossAx val="132576384"/>
        <c:crossesAt val="0"/>
        <c:crossBetween val="between"/>
        <c:majorUnit val="50"/>
        <c:minorUnit val="25"/>
      </c:valAx>
      <c:valAx>
        <c:axId val="132600960"/>
        <c:scaling>
          <c:orientation val="minMax"/>
          <c:max val="0.60000000000000009"/>
        </c:scaling>
        <c:delete val="0"/>
        <c:axPos val="r"/>
        <c:title>
          <c:tx>
            <c:rich>
              <a:bodyPr rot="-5400000" vert="horz"/>
              <a:lstStyle/>
              <a:p>
                <a:pPr>
                  <a:defRPr sz="1600" b="1"/>
                </a:pPr>
                <a:r>
                  <a:rPr lang="en-US" sz="1600" b="1"/>
                  <a:t>Duty Cycle</a:t>
                </a:r>
              </a:p>
            </c:rich>
          </c:tx>
          <c:layout>
            <c:manualLayout>
              <c:xMode val="edge"/>
              <c:yMode val="edge"/>
              <c:x val="0.96331030941631779"/>
              <c:y val="0.35675917128406437"/>
            </c:manualLayout>
          </c:layout>
          <c:overlay val="0"/>
        </c:title>
        <c:numFmt formatCode="General" sourceLinked="0"/>
        <c:majorTickMark val="out"/>
        <c:minorTickMark val="none"/>
        <c:tickLblPos val="nextTo"/>
        <c:txPr>
          <a:bodyPr/>
          <a:lstStyle/>
          <a:p>
            <a:pPr>
              <a:defRPr sz="1400" b="1"/>
            </a:pPr>
            <a:endParaRPr lang="ko-KR"/>
          </a:p>
        </c:txPr>
        <c:crossAx val="132602880"/>
        <c:crosses val="max"/>
        <c:crossBetween val="between"/>
        <c:majorUnit val="0.1"/>
        <c:minorUnit val="5.000000000000001E-2"/>
      </c:valAx>
      <c:catAx>
        <c:axId val="132602880"/>
        <c:scaling>
          <c:orientation val="minMax"/>
        </c:scaling>
        <c:delete val="1"/>
        <c:axPos val="b"/>
        <c:majorTickMark val="out"/>
        <c:minorTickMark val="none"/>
        <c:tickLblPos val="nextTo"/>
        <c:crossAx val="132600960"/>
        <c:crosses val="autoZero"/>
        <c:auto val="1"/>
        <c:lblAlgn val="ctr"/>
        <c:lblOffset val="100"/>
        <c:noMultiLvlLbl val="0"/>
      </c:catAx>
      <c:spPr>
        <a:noFill/>
        <a:ln w="25400">
          <a:noFill/>
        </a:ln>
      </c:spPr>
    </c:plotArea>
    <c:legend>
      <c:legendPos val="t"/>
      <c:legendEntry>
        <c:idx val="12"/>
        <c:delete val="1"/>
      </c:legendEntry>
      <c:legendEntry>
        <c:idx val="13"/>
        <c:delete val="1"/>
      </c:legendEntry>
      <c:legendEntry>
        <c:idx val="14"/>
        <c:delete val="1"/>
      </c:legendEntry>
      <c:legendEntry>
        <c:idx val="15"/>
        <c:delete val="1"/>
      </c:legendEntry>
      <c:legendEntry>
        <c:idx val="16"/>
        <c:delete val="1"/>
      </c:legendEntry>
      <c:legendEntry>
        <c:idx val="17"/>
        <c:delete val="1"/>
      </c:legendEntry>
      <c:layout>
        <c:manualLayout>
          <c:xMode val="edge"/>
          <c:yMode val="edge"/>
          <c:x val="0.31430722044239789"/>
          <c:y val="1.5175029628150039E-2"/>
          <c:w val="0.42410841724909248"/>
          <c:h val="5.4335766847817754E-2"/>
        </c:manualLayout>
      </c:layout>
      <c:overlay val="0"/>
      <c:spPr>
        <a:solidFill>
          <a:srgbClr val="FFFFFF"/>
        </a:solidFill>
        <a:ln w="25400">
          <a:noFill/>
        </a:ln>
      </c:spPr>
      <c:txPr>
        <a:bodyPr/>
        <a:lstStyle/>
        <a:p>
          <a:pPr>
            <a:defRPr sz="1400" b="0" i="0" u="none" strike="noStrike" baseline="0">
              <a:solidFill>
                <a:srgbClr val="000000"/>
              </a:solidFill>
              <a:latin typeface="Arial" pitchFamily="34" charset="0"/>
              <a:ea typeface="Calibri"/>
              <a:cs typeface="Arial" pitchFamily="34" charset="0"/>
            </a:defRPr>
          </a:pPr>
          <a:endParaRPr lang="ko-KR"/>
        </a:p>
      </c:txPr>
    </c:legend>
    <c:plotVisOnly val="1"/>
    <c:dispBlanksAs val="gap"/>
    <c:showDLblsOverMax val="0"/>
  </c:chart>
  <c:spPr>
    <a:solidFill>
      <a:srgbClr val="FFFFFF"/>
    </a:solidFill>
    <a:ln w="9525">
      <a:noFill/>
    </a:ln>
  </c:spPr>
  <c:txPr>
    <a:bodyPr/>
    <a:lstStyle/>
    <a:p>
      <a:pPr>
        <a:defRPr sz="850" b="0" i="0" u="none" strike="noStrike" baseline="0">
          <a:solidFill>
            <a:srgbClr val="000000"/>
          </a:solidFill>
          <a:latin typeface="Arial"/>
          <a:ea typeface="Arial"/>
          <a:cs typeface="Arial"/>
        </a:defRPr>
      </a:pPr>
      <a:endParaRPr lang="ko-KR"/>
    </a:p>
  </c:txPr>
  <c:printSettings>
    <c:headerFooter alignWithMargins="0"/>
    <c:pageMargins b="1" l="0.750000000000006" r="0.750000000000006" t="1" header="0.5" footer="0.5"/>
    <c:pageSetup paperSize="5" orientation="portrait"/>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ko-K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280746883383756E-2"/>
          <c:y val="0.12133523343001466"/>
          <c:w val="0.86047278973849184"/>
          <c:h val="0.7558980268938309"/>
        </c:manualLayout>
      </c:layout>
      <c:lineChart>
        <c:grouping val="standard"/>
        <c:varyColors val="0"/>
        <c:ser>
          <c:idx val="1"/>
          <c:order val="0"/>
          <c:tx>
            <c:v>VIN-min</c:v>
          </c:tx>
          <c:spPr>
            <a:ln>
              <a:solidFill>
                <a:srgbClr val="00B050"/>
              </a:solidFill>
              <a:prstDash val="sysDash"/>
            </a:ln>
          </c:spPr>
          <c:marker>
            <c:symbol val="none"/>
          </c:marker>
          <c:val>
            <c:numRef>
              <c:f>'Calculations - Dual'!$AI$110:$AI$210</c:f>
              <c:numCache>
                <c:formatCode>0.000</c:formatCode>
                <c:ptCount val="101"/>
                <c:pt idx="0">
                  <c:v>0.28999999999999998</c:v>
                </c:pt>
                <c:pt idx="1">
                  <c:v>0.28999999999999998</c:v>
                </c:pt>
                <c:pt idx="2">
                  <c:v>0.28999999999999998</c:v>
                </c:pt>
                <c:pt idx="3">
                  <c:v>0.28999999999999998</c:v>
                </c:pt>
                <c:pt idx="4">
                  <c:v>0.28999999999999998</c:v>
                </c:pt>
                <c:pt idx="5">
                  <c:v>0.28999999999999998</c:v>
                </c:pt>
                <c:pt idx="6">
                  <c:v>0.28999999999999998</c:v>
                </c:pt>
                <c:pt idx="7">
                  <c:v>0.28999999999999998</c:v>
                </c:pt>
                <c:pt idx="8">
                  <c:v>0.28999999999999998</c:v>
                </c:pt>
                <c:pt idx="9">
                  <c:v>0.29784943463818375</c:v>
                </c:pt>
                <c:pt idx="10">
                  <c:v>0.31396087108337012</c:v>
                </c:pt>
                <c:pt idx="11">
                  <c:v>0.32928493957144689</c:v>
                </c:pt>
                <c:pt idx="12">
                  <c:v>0.38351288056206084</c:v>
                </c:pt>
                <c:pt idx="13">
                  <c:v>0.41547228727556601</c:v>
                </c:pt>
                <c:pt idx="14">
                  <c:v>0.44743169398907107</c:v>
                </c:pt>
                <c:pt idx="15">
                  <c:v>0.47939110070257612</c:v>
                </c:pt>
                <c:pt idx="16">
                  <c:v>0.51135050741608123</c:v>
                </c:pt>
                <c:pt idx="17">
                  <c:v>0.54330991412958629</c:v>
                </c:pt>
                <c:pt idx="18">
                  <c:v>0.57526932084309135</c:v>
                </c:pt>
                <c:pt idx="19">
                  <c:v>0.6072287275565964</c:v>
                </c:pt>
                <c:pt idx="20">
                  <c:v>0.63918813427010146</c:v>
                </c:pt>
                <c:pt idx="21">
                  <c:v>0.67114754098360663</c:v>
                </c:pt>
                <c:pt idx="22">
                  <c:v>0.70310694769711168</c:v>
                </c:pt>
                <c:pt idx="23">
                  <c:v>0.73506635441061685</c:v>
                </c:pt>
                <c:pt idx="24">
                  <c:v>0.76702576112412169</c:v>
                </c:pt>
                <c:pt idx="25">
                  <c:v>0.79898516783762696</c:v>
                </c:pt>
                <c:pt idx="26">
                  <c:v>0.83094457455113202</c:v>
                </c:pt>
                <c:pt idx="27">
                  <c:v>0.86290398126463708</c:v>
                </c:pt>
                <c:pt idx="28">
                  <c:v>0.89486338797814213</c:v>
                </c:pt>
                <c:pt idx="29">
                  <c:v>0.92682279469164719</c:v>
                </c:pt>
                <c:pt idx="30">
                  <c:v>0.95878220140515225</c:v>
                </c:pt>
                <c:pt idx="31">
                  <c:v>0.99074160811865752</c:v>
                </c:pt>
                <c:pt idx="32">
                  <c:v>1.0227010148321625</c:v>
                </c:pt>
                <c:pt idx="33">
                  <c:v>1.0546604215456676</c:v>
                </c:pt>
                <c:pt idx="34">
                  <c:v>1.0866198282591726</c:v>
                </c:pt>
                <c:pt idx="35">
                  <c:v>1.1185792349726777</c:v>
                </c:pt>
                <c:pt idx="36">
                  <c:v>1.1505386416861827</c:v>
                </c:pt>
                <c:pt idx="37">
                  <c:v>1.1824980483996879</c:v>
                </c:pt>
                <c:pt idx="38">
                  <c:v>1.2144574551131928</c:v>
                </c:pt>
                <c:pt idx="39">
                  <c:v>1.246416861826698</c:v>
                </c:pt>
                <c:pt idx="40">
                  <c:v>1.2783762685402029</c:v>
                </c:pt>
                <c:pt idx="41">
                  <c:v>1.3103356752537081</c:v>
                </c:pt>
                <c:pt idx="42">
                  <c:v>1.3422950819672133</c:v>
                </c:pt>
                <c:pt idx="43">
                  <c:v>1.3742544886807184</c:v>
                </c:pt>
                <c:pt idx="44">
                  <c:v>1.4062138953942234</c:v>
                </c:pt>
                <c:pt idx="45">
                  <c:v>1.4381733021077285</c:v>
                </c:pt>
                <c:pt idx="46">
                  <c:v>1.45</c:v>
                </c:pt>
                <c:pt idx="47">
                  <c:v>1.45</c:v>
                </c:pt>
                <c:pt idx="48">
                  <c:v>1.45</c:v>
                </c:pt>
                <c:pt idx="49">
                  <c:v>1.45</c:v>
                </c:pt>
                <c:pt idx="50">
                  <c:v>1.45</c:v>
                </c:pt>
                <c:pt idx="51">
                  <c:v>1.45</c:v>
                </c:pt>
                <c:pt idx="52">
                  <c:v>1.45</c:v>
                </c:pt>
                <c:pt idx="53">
                  <c:v>1.45</c:v>
                </c:pt>
                <c:pt idx="54">
                  <c:v>1.45</c:v>
                </c:pt>
                <c:pt idx="55">
                  <c:v>1.45</c:v>
                </c:pt>
                <c:pt idx="56">
                  <c:v>1.45</c:v>
                </c:pt>
                <c:pt idx="57">
                  <c:v>1.45</c:v>
                </c:pt>
                <c:pt idx="58">
                  <c:v>1.45</c:v>
                </c:pt>
                <c:pt idx="59">
                  <c:v>1.45</c:v>
                </c:pt>
                <c:pt idx="60">
                  <c:v>1.45</c:v>
                </c:pt>
                <c:pt idx="61">
                  <c:v>1.45</c:v>
                </c:pt>
                <c:pt idx="62">
                  <c:v>1.45</c:v>
                </c:pt>
                <c:pt idx="63">
                  <c:v>1.45</c:v>
                </c:pt>
                <c:pt idx="64">
                  <c:v>1.45</c:v>
                </c:pt>
                <c:pt idx="65">
                  <c:v>1.45</c:v>
                </c:pt>
                <c:pt idx="66">
                  <c:v>1.45</c:v>
                </c:pt>
                <c:pt idx="67">
                  <c:v>1.45</c:v>
                </c:pt>
                <c:pt idx="68">
                  <c:v>1.45</c:v>
                </c:pt>
                <c:pt idx="69">
                  <c:v>1.45</c:v>
                </c:pt>
                <c:pt idx="70">
                  <c:v>1.45</c:v>
                </c:pt>
                <c:pt idx="71">
                  <c:v>1.45</c:v>
                </c:pt>
                <c:pt idx="72">
                  <c:v>1.45</c:v>
                </c:pt>
                <c:pt idx="73">
                  <c:v>1.45</c:v>
                </c:pt>
                <c:pt idx="74">
                  <c:v>1.45</c:v>
                </c:pt>
                <c:pt idx="75">
                  <c:v>1.45</c:v>
                </c:pt>
                <c:pt idx="76">
                  <c:v>1.45</c:v>
                </c:pt>
                <c:pt idx="77">
                  <c:v>1.45</c:v>
                </c:pt>
                <c:pt idx="78">
                  <c:v>1.45</c:v>
                </c:pt>
                <c:pt idx="79">
                  <c:v>1.45</c:v>
                </c:pt>
                <c:pt idx="80">
                  <c:v>1.45</c:v>
                </c:pt>
                <c:pt idx="81">
                  <c:v>1.45</c:v>
                </c:pt>
                <c:pt idx="82">
                  <c:v>1.45</c:v>
                </c:pt>
                <c:pt idx="83">
                  <c:v>1.45</c:v>
                </c:pt>
                <c:pt idx="84">
                  <c:v>1.45</c:v>
                </c:pt>
                <c:pt idx="85">
                  <c:v>1.45</c:v>
                </c:pt>
                <c:pt idx="86">
                  <c:v>1.45</c:v>
                </c:pt>
                <c:pt idx="87">
                  <c:v>1.45</c:v>
                </c:pt>
                <c:pt idx="88">
                  <c:v>1.45</c:v>
                </c:pt>
                <c:pt idx="89">
                  <c:v>1.45</c:v>
                </c:pt>
                <c:pt idx="90">
                  <c:v>1.45</c:v>
                </c:pt>
                <c:pt idx="91">
                  <c:v>1.45</c:v>
                </c:pt>
                <c:pt idx="92">
                  <c:v>1.45</c:v>
                </c:pt>
                <c:pt idx="93">
                  <c:v>1.45</c:v>
                </c:pt>
                <c:pt idx="94">
                  <c:v>1.45</c:v>
                </c:pt>
                <c:pt idx="95">
                  <c:v>1.45</c:v>
                </c:pt>
                <c:pt idx="96">
                  <c:v>1.45</c:v>
                </c:pt>
                <c:pt idx="97">
                  <c:v>1.45</c:v>
                </c:pt>
                <c:pt idx="98">
                  <c:v>1.45</c:v>
                </c:pt>
                <c:pt idx="99">
                  <c:v>1.45</c:v>
                </c:pt>
                <c:pt idx="100">
                  <c:v>1.45</c:v>
                </c:pt>
              </c:numCache>
            </c:numRef>
          </c:val>
          <c:smooth val="0"/>
        </c:ser>
        <c:ser>
          <c:idx val="0"/>
          <c:order val="1"/>
          <c:tx>
            <c:v>VIN-nom</c:v>
          </c:tx>
          <c:spPr>
            <a:ln w="28575">
              <a:solidFill>
                <a:srgbClr val="0000FF"/>
              </a:solidFill>
              <a:prstDash val="lgDash"/>
            </a:ln>
          </c:spPr>
          <c:marker>
            <c:symbol val="none"/>
          </c:marker>
          <c:cat>
            <c:numRef>
              <c:f>'Calculations - Dual'!$AL$5:$AL$105</c:f>
              <c:numCache>
                <c:formatCode>0</c:formatCode>
                <c:ptCount val="101"/>
                <c:pt idx="0">
                  <c:v>1.0000000000000002E-6</c:v>
                </c:pt>
                <c:pt idx="1">
                  <c:v>3</c:v>
                </c:pt>
                <c:pt idx="2">
                  <c:v>6</c:v>
                </c:pt>
                <c:pt idx="3">
                  <c:v>9</c:v>
                </c:pt>
                <c:pt idx="4">
                  <c:v>12</c:v>
                </c:pt>
                <c:pt idx="5">
                  <c:v>15</c:v>
                </c:pt>
                <c:pt idx="6">
                  <c:v>18</c:v>
                </c:pt>
                <c:pt idx="7">
                  <c:v>21</c:v>
                </c:pt>
                <c:pt idx="8">
                  <c:v>24</c:v>
                </c:pt>
                <c:pt idx="9">
                  <c:v>27</c:v>
                </c:pt>
                <c:pt idx="10">
                  <c:v>30</c:v>
                </c:pt>
                <c:pt idx="11">
                  <c:v>33</c:v>
                </c:pt>
                <c:pt idx="12">
                  <c:v>36</c:v>
                </c:pt>
                <c:pt idx="13">
                  <c:v>39</c:v>
                </c:pt>
                <c:pt idx="14">
                  <c:v>42</c:v>
                </c:pt>
                <c:pt idx="15">
                  <c:v>45</c:v>
                </c:pt>
                <c:pt idx="16">
                  <c:v>48</c:v>
                </c:pt>
                <c:pt idx="17">
                  <c:v>51.000000000000007</c:v>
                </c:pt>
                <c:pt idx="18">
                  <c:v>54</c:v>
                </c:pt>
                <c:pt idx="19">
                  <c:v>56.999999999999993</c:v>
                </c:pt>
                <c:pt idx="20">
                  <c:v>60</c:v>
                </c:pt>
                <c:pt idx="21">
                  <c:v>63</c:v>
                </c:pt>
                <c:pt idx="22">
                  <c:v>66</c:v>
                </c:pt>
                <c:pt idx="23">
                  <c:v>69</c:v>
                </c:pt>
                <c:pt idx="24">
                  <c:v>72</c:v>
                </c:pt>
                <c:pt idx="25">
                  <c:v>75</c:v>
                </c:pt>
                <c:pt idx="26">
                  <c:v>78</c:v>
                </c:pt>
                <c:pt idx="27">
                  <c:v>81</c:v>
                </c:pt>
                <c:pt idx="28">
                  <c:v>84</c:v>
                </c:pt>
                <c:pt idx="29">
                  <c:v>87</c:v>
                </c:pt>
                <c:pt idx="30">
                  <c:v>90</c:v>
                </c:pt>
                <c:pt idx="31">
                  <c:v>93</c:v>
                </c:pt>
                <c:pt idx="32">
                  <c:v>96</c:v>
                </c:pt>
                <c:pt idx="33">
                  <c:v>99</c:v>
                </c:pt>
                <c:pt idx="34">
                  <c:v>102.00000000000001</c:v>
                </c:pt>
                <c:pt idx="35">
                  <c:v>105</c:v>
                </c:pt>
                <c:pt idx="36">
                  <c:v>108</c:v>
                </c:pt>
                <c:pt idx="37">
                  <c:v>111</c:v>
                </c:pt>
                <c:pt idx="38">
                  <c:v>113.99999999999999</c:v>
                </c:pt>
                <c:pt idx="39">
                  <c:v>117</c:v>
                </c:pt>
                <c:pt idx="40">
                  <c:v>120</c:v>
                </c:pt>
                <c:pt idx="41">
                  <c:v>122.99999999999999</c:v>
                </c:pt>
                <c:pt idx="42">
                  <c:v>126</c:v>
                </c:pt>
                <c:pt idx="43">
                  <c:v>129</c:v>
                </c:pt>
                <c:pt idx="44">
                  <c:v>132</c:v>
                </c:pt>
                <c:pt idx="45">
                  <c:v>135</c:v>
                </c:pt>
                <c:pt idx="46">
                  <c:v>138</c:v>
                </c:pt>
                <c:pt idx="47">
                  <c:v>141</c:v>
                </c:pt>
                <c:pt idx="48">
                  <c:v>144</c:v>
                </c:pt>
                <c:pt idx="49">
                  <c:v>147</c:v>
                </c:pt>
                <c:pt idx="50">
                  <c:v>150</c:v>
                </c:pt>
                <c:pt idx="51">
                  <c:v>153</c:v>
                </c:pt>
                <c:pt idx="52">
                  <c:v>156</c:v>
                </c:pt>
                <c:pt idx="53">
                  <c:v>159</c:v>
                </c:pt>
                <c:pt idx="54">
                  <c:v>162</c:v>
                </c:pt>
                <c:pt idx="55">
                  <c:v>165</c:v>
                </c:pt>
                <c:pt idx="56">
                  <c:v>168</c:v>
                </c:pt>
                <c:pt idx="57">
                  <c:v>170.99999999999997</c:v>
                </c:pt>
                <c:pt idx="58">
                  <c:v>174</c:v>
                </c:pt>
                <c:pt idx="59">
                  <c:v>177</c:v>
                </c:pt>
                <c:pt idx="60">
                  <c:v>180</c:v>
                </c:pt>
                <c:pt idx="61">
                  <c:v>183</c:v>
                </c:pt>
                <c:pt idx="62">
                  <c:v>186</c:v>
                </c:pt>
                <c:pt idx="63">
                  <c:v>189</c:v>
                </c:pt>
                <c:pt idx="64">
                  <c:v>192</c:v>
                </c:pt>
                <c:pt idx="65">
                  <c:v>195</c:v>
                </c:pt>
                <c:pt idx="66">
                  <c:v>198</c:v>
                </c:pt>
                <c:pt idx="67">
                  <c:v>201</c:v>
                </c:pt>
                <c:pt idx="68">
                  <c:v>204.00000000000003</c:v>
                </c:pt>
                <c:pt idx="69">
                  <c:v>207</c:v>
                </c:pt>
                <c:pt idx="70">
                  <c:v>210</c:v>
                </c:pt>
                <c:pt idx="71">
                  <c:v>213</c:v>
                </c:pt>
                <c:pt idx="72">
                  <c:v>216</c:v>
                </c:pt>
                <c:pt idx="73">
                  <c:v>219</c:v>
                </c:pt>
                <c:pt idx="74">
                  <c:v>222</c:v>
                </c:pt>
                <c:pt idx="75">
                  <c:v>224.99999999999997</c:v>
                </c:pt>
                <c:pt idx="76">
                  <c:v>227.99999999999997</c:v>
                </c:pt>
                <c:pt idx="77">
                  <c:v>230.99999999999997</c:v>
                </c:pt>
                <c:pt idx="78">
                  <c:v>234</c:v>
                </c:pt>
                <c:pt idx="79">
                  <c:v>237</c:v>
                </c:pt>
                <c:pt idx="80">
                  <c:v>240</c:v>
                </c:pt>
                <c:pt idx="81">
                  <c:v>243</c:v>
                </c:pt>
                <c:pt idx="82">
                  <c:v>245.99999999999997</c:v>
                </c:pt>
                <c:pt idx="83">
                  <c:v>248.99999999999997</c:v>
                </c:pt>
                <c:pt idx="84">
                  <c:v>252</c:v>
                </c:pt>
                <c:pt idx="85">
                  <c:v>255</c:v>
                </c:pt>
                <c:pt idx="86">
                  <c:v>258</c:v>
                </c:pt>
                <c:pt idx="87">
                  <c:v>261</c:v>
                </c:pt>
                <c:pt idx="88">
                  <c:v>264</c:v>
                </c:pt>
                <c:pt idx="89">
                  <c:v>267</c:v>
                </c:pt>
                <c:pt idx="90">
                  <c:v>270</c:v>
                </c:pt>
                <c:pt idx="91">
                  <c:v>273</c:v>
                </c:pt>
                <c:pt idx="92">
                  <c:v>276</c:v>
                </c:pt>
                <c:pt idx="93">
                  <c:v>279</c:v>
                </c:pt>
                <c:pt idx="94">
                  <c:v>282</c:v>
                </c:pt>
                <c:pt idx="95">
                  <c:v>285</c:v>
                </c:pt>
                <c:pt idx="96">
                  <c:v>288</c:v>
                </c:pt>
                <c:pt idx="97">
                  <c:v>291</c:v>
                </c:pt>
                <c:pt idx="98">
                  <c:v>294</c:v>
                </c:pt>
                <c:pt idx="99">
                  <c:v>297</c:v>
                </c:pt>
                <c:pt idx="100">
                  <c:v>300</c:v>
                </c:pt>
              </c:numCache>
            </c:numRef>
          </c:cat>
          <c:val>
            <c:numRef>
              <c:f>'Calculations - Dual'!$AI$5:$AI$105</c:f>
              <c:numCache>
                <c:formatCode>0.000</c:formatCode>
                <c:ptCount val="101"/>
                <c:pt idx="0">
                  <c:v>0.28999999999999998</c:v>
                </c:pt>
                <c:pt idx="1">
                  <c:v>0.28999999999999998</c:v>
                </c:pt>
                <c:pt idx="2">
                  <c:v>0.28999999999999998</c:v>
                </c:pt>
                <c:pt idx="3">
                  <c:v>0.28999999999999998</c:v>
                </c:pt>
                <c:pt idx="4">
                  <c:v>0.28999999999999998</c:v>
                </c:pt>
                <c:pt idx="5">
                  <c:v>0.28999999999999998</c:v>
                </c:pt>
                <c:pt idx="6">
                  <c:v>0.28999999999999998</c:v>
                </c:pt>
                <c:pt idx="7">
                  <c:v>0.28999999999999998</c:v>
                </c:pt>
                <c:pt idx="8">
                  <c:v>0.28999999999999998</c:v>
                </c:pt>
                <c:pt idx="9">
                  <c:v>0.29784943463818375</c:v>
                </c:pt>
                <c:pt idx="10">
                  <c:v>0.31396087108337012</c:v>
                </c:pt>
                <c:pt idx="11">
                  <c:v>0.32928493957144689</c:v>
                </c:pt>
                <c:pt idx="12">
                  <c:v>0.34392690253266645</c:v>
                </c:pt>
                <c:pt idx="13">
                  <c:v>0.35797046965197721</c:v>
                </c:pt>
                <c:pt idx="14">
                  <c:v>0.37148351242013417</c:v>
                </c:pt>
                <c:pt idx="15">
                  <c:v>0.3845219666769934</c:v>
                </c:pt>
                <c:pt idx="16">
                  <c:v>0.39713257951757835</c:v>
                </c:pt>
                <c:pt idx="17">
                  <c:v>0.40935489318124507</c:v>
                </c:pt>
                <c:pt idx="18">
                  <c:v>0.42122271001047817</c:v>
                </c:pt>
                <c:pt idx="19">
                  <c:v>0.43276519532618868</c:v>
                </c:pt>
                <c:pt idx="20">
                  <c:v>0.44400772194057286</c:v>
                </c:pt>
                <c:pt idx="21">
                  <c:v>0.45497252664309301</c:v>
                </c:pt>
                <c:pt idx="22">
                  <c:v>0.46567922742714524</c:v>
                </c:pt>
                <c:pt idx="23">
                  <c:v>0.47614523594622438</c:v>
                </c:pt>
                <c:pt idx="24">
                  <c:v>0.48638609002666644</c:v>
                </c:pt>
                <c:pt idx="25">
                  <c:v>0.49641572439697296</c:v>
                </c:pt>
                <c:pt idx="26">
                  <c:v>0.50624669311089265</c:v>
                </c:pt>
                <c:pt idx="27">
                  <c:v>0.51589035379899972</c:v>
                </c:pt>
                <c:pt idx="28">
                  <c:v>0.52535702146254781</c:v>
                </c:pt>
                <c:pt idx="29">
                  <c:v>0.53465609774615197</c:v>
                </c:pt>
                <c:pt idx="30">
                  <c:v>0.54379618030497934</c:v>
                </c:pt>
                <c:pt idx="31">
                  <c:v>0.5527851558891832</c:v>
                </c:pt>
                <c:pt idx="32">
                  <c:v>0.56163028001397097</c:v>
                </c:pt>
                <c:pt idx="33">
                  <c:v>0.57033824550499357</c:v>
                </c:pt>
                <c:pt idx="34">
                  <c:v>0.57891524176070641</c:v>
                </c:pt>
                <c:pt idx="35">
                  <c:v>0.58736700622353655</c:v>
                </c:pt>
                <c:pt idx="36">
                  <c:v>0.82196721311475407</c:v>
                </c:pt>
                <c:pt idx="37">
                  <c:v>0.84479963570127492</c:v>
                </c:pt>
                <c:pt idx="38">
                  <c:v>0.86763205828779588</c:v>
                </c:pt>
                <c:pt idx="39">
                  <c:v>0.89046448087431684</c:v>
                </c:pt>
                <c:pt idx="40">
                  <c:v>0.91329690346083769</c:v>
                </c:pt>
                <c:pt idx="41">
                  <c:v>0.93612932604735866</c:v>
                </c:pt>
                <c:pt idx="42">
                  <c:v>0.95896174863387973</c:v>
                </c:pt>
                <c:pt idx="43">
                  <c:v>0.98179417122040069</c:v>
                </c:pt>
                <c:pt idx="44">
                  <c:v>1.0046265938069217</c:v>
                </c:pt>
                <c:pt idx="45">
                  <c:v>1.0274590163934427</c:v>
                </c:pt>
                <c:pt idx="46">
                  <c:v>1.0502914389799636</c:v>
                </c:pt>
                <c:pt idx="47">
                  <c:v>1.0731238615664842</c:v>
                </c:pt>
                <c:pt idx="48">
                  <c:v>1.0959562841530053</c:v>
                </c:pt>
                <c:pt idx="49">
                  <c:v>1.1187887067395264</c:v>
                </c:pt>
                <c:pt idx="50">
                  <c:v>1.1416211293260474</c:v>
                </c:pt>
                <c:pt idx="51">
                  <c:v>1.1644535519125683</c:v>
                </c:pt>
                <c:pt idx="52">
                  <c:v>1.1872859744990891</c:v>
                </c:pt>
                <c:pt idx="53">
                  <c:v>1.2101183970856102</c:v>
                </c:pt>
                <c:pt idx="54">
                  <c:v>1.232950819672131</c:v>
                </c:pt>
                <c:pt idx="55">
                  <c:v>1.2557832422586519</c:v>
                </c:pt>
                <c:pt idx="56">
                  <c:v>1.278615664845173</c:v>
                </c:pt>
                <c:pt idx="57">
                  <c:v>1.3014480874316938</c:v>
                </c:pt>
                <c:pt idx="58">
                  <c:v>1.3242805100182147</c:v>
                </c:pt>
                <c:pt idx="59">
                  <c:v>1.3471129326047357</c:v>
                </c:pt>
                <c:pt idx="60">
                  <c:v>1.3699453551912566</c:v>
                </c:pt>
                <c:pt idx="61">
                  <c:v>1.3927777777777774</c:v>
                </c:pt>
                <c:pt idx="62">
                  <c:v>1.4156102003642987</c:v>
                </c:pt>
                <c:pt idx="63">
                  <c:v>1.4384426229508194</c:v>
                </c:pt>
                <c:pt idx="64">
                  <c:v>1.45</c:v>
                </c:pt>
                <c:pt idx="65">
                  <c:v>1.45</c:v>
                </c:pt>
                <c:pt idx="66">
                  <c:v>1.45</c:v>
                </c:pt>
                <c:pt idx="67">
                  <c:v>1.45</c:v>
                </c:pt>
                <c:pt idx="68">
                  <c:v>1.45</c:v>
                </c:pt>
                <c:pt idx="69">
                  <c:v>1.45</c:v>
                </c:pt>
                <c:pt idx="70">
                  <c:v>1.45</c:v>
                </c:pt>
                <c:pt idx="71">
                  <c:v>1.45</c:v>
                </c:pt>
                <c:pt idx="72">
                  <c:v>1.45</c:v>
                </c:pt>
                <c:pt idx="73">
                  <c:v>1.45</c:v>
                </c:pt>
                <c:pt idx="74">
                  <c:v>1.45</c:v>
                </c:pt>
                <c:pt idx="75">
                  <c:v>1.45</c:v>
                </c:pt>
                <c:pt idx="76">
                  <c:v>1.45</c:v>
                </c:pt>
                <c:pt idx="77">
                  <c:v>1.45</c:v>
                </c:pt>
                <c:pt idx="78">
                  <c:v>1.45</c:v>
                </c:pt>
                <c:pt idx="79">
                  <c:v>1.45</c:v>
                </c:pt>
                <c:pt idx="80">
                  <c:v>1.45</c:v>
                </c:pt>
                <c:pt idx="81">
                  <c:v>1.45</c:v>
                </c:pt>
                <c:pt idx="82">
                  <c:v>1.45</c:v>
                </c:pt>
                <c:pt idx="83">
                  <c:v>1.45</c:v>
                </c:pt>
                <c:pt idx="84">
                  <c:v>1.45</c:v>
                </c:pt>
                <c:pt idx="85">
                  <c:v>1.45</c:v>
                </c:pt>
                <c:pt idx="86">
                  <c:v>1.45</c:v>
                </c:pt>
                <c:pt idx="87">
                  <c:v>1.45</c:v>
                </c:pt>
                <c:pt idx="88">
                  <c:v>1.45</c:v>
                </c:pt>
                <c:pt idx="89">
                  <c:v>1.45</c:v>
                </c:pt>
                <c:pt idx="90">
                  <c:v>1.45</c:v>
                </c:pt>
                <c:pt idx="91">
                  <c:v>1.45</c:v>
                </c:pt>
                <c:pt idx="92">
                  <c:v>1.45</c:v>
                </c:pt>
                <c:pt idx="93">
                  <c:v>1.45</c:v>
                </c:pt>
                <c:pt idx="94">
                  <c:v>1.45</c:v>
                </c:pt>
                <c:pt idx="95">
                  <c:v>1.45</c:v>
                </c:pt>
                <c:pt idx="96">
                  <c:v>1.45</c:v>
                </c:pt>
                <c:pt idx="97">
                  <c:v>1.45</c:v>
                </c:pt>
                <c:pt idx="98">
                  <c:v>1.45</c:v>
                </c:pt>
                <c:pt idx="99">
                  <c:v>1.45</c:v>
                </c:pt>
                <c:pt idx="100">
                  <c:v>1.45</c:v>
                </c:pt>
              </c:numCache>
            </c:numRef>
          </c:val>
          <c:smooth val="0"/>
        </c:ser>
        <c:ser>
          <c:idx val="2"/>
          <c:order val="2"/>
          <c:tx>
            <c:v>VIN-max</c:v>
          </c:tx>
          <c:spPr>
            <a:ln>
              <a:solidFill>
                <a:srgbClr val="FF0000"/>
              </a:solidFill>
              <a:prstDash val="solid"/>
            </a:ln>
          </c:spPr>
          <c:marker>
            <c:symbol val="none"/>
          </c:marker>
          <c:val>
            <c:numRef>
              <c:f>'Calculations - Dual'!$AI$216:$AI$316</c:f>
              <c:numCache>
                <c:formatCode>0.000</c:formatCode>
                <c:ptCount val="101"/>
                <c:pt idx="0">
                  <c:v>0.28999999999999998</c:v>
                </c:pt>
                <c:pt idx="1">
                  <c:v>0.28999999999999998</c:v>
                </c:pt>
                <c:pt idx="2">
                  <c:v>0.28999999999999998</c:v>
                </c:pt>
                <c:pt idx="3">
                  <c:v>0.28999999999999998</c:v>
                </c:pt>
                <c:pt idx="4">
                  <c:v>0.28999999999999998</c:v>
                </c:pt>
                <c:pt idx="5">
                  <c:v>0.28999999999999998</c:v>
                </c:pt>
                <c:pt idx="6">
                  <c:v>0.28999999999999998</c:v>
                </c:pt>
                <c:pt idx="7">
                  <c:v>0.28999999999999998</c:v>
                </c:pt>
                <c:pt idx="8">
                  <c:v>0.28999999999999998</c:v>
                </c:pt>
                <c:pt idx="9">
                  <c:v>0.29784943463818375</c:v>
                </c:pt>
                <c:pt idx="10">
                  <c:v>0.31396087108337012</c:v>
                </c:pt>
                <c:pt idx="11">
                  <c:v>0.32928493957144689</c:v>
                </c:pt>
                <c:pt idx="12">
                  <c:v>0.34392690253266645</c:v>
                </c:pt>
                <c:pt idx="13">
                  <c:v>0.35797046965197721</c:v>
                </c:pt>
                <c:pt idx="14">
                  <c:v>0.37148351242013417</c:v>
                </c:pt>
                <c:pt idx="15">
                  <c:v>0.3845219666769934</c:v>
                </c:pt>
                <c:pt idx="16">
                  <c:v>0.39713257951757835</c:v>
                </c:pt>
                <c:pt idx="17">
                  <c:v>0.40935489318124507</c:v>
                </c:pt>
                <c:pt idx="18">
                  <c:v>0.42122271001047817</c:v>
                </c:pt>
                <c:pt idx="19">
                  <c:v>0.43276519532618868</c:v>
                </c:pt>
                <c:pt idx="20">
                  <c:v>0.44400772194057286</c:v>
                </c:pt>
                <c:pt idx="21">
                  <c:v>0.45497252664309301</c:v>
                </c:pt>
                <c:pt idx="22">
                  <c:v>0.46567922742714524</c:v>
                </c:pt>
                <c:pt idx="23">
                  <c:v>0.47614523594622438</c:v>
                </c:pt>
                <c:pt idx="24">
                  <c:v>0.48638609002666644</c:v>
                </c:pt>
                <c:pt idx="25">
                  <c:v>0.49641572439697296</c:v>
                </c:pt>
                <c:pt idx="26">
                  <c:v>0.50624669311089265</c:v>
                </c:pt>
                <c:pt idx="27">
                  <c:v>0.51589035379899972</c:v>
                </c:pt>
                <c:pt idx="28">
                  <c:v>0.52535702146254781</c:v>
                </c:pt>
                <c:pt idx="29">
                  <c:v>0.53465609774615197</c:v>
                </c:pt>
                <c:pt idx="30">
                  <c:v>0.54379618030497934</c:v>
                </c:pt>
                <c:pt idx="31">
                  <c:v>0.5527851558891832</c:v>
                </c:pt>
                <c:pt idx="32">
                  <c:v>0.56163028001397097</c:v>
                </c:pt>
                <c:pt idx="33">
                  <c:v>0.57033824550499357</c:v>
                </c:pt>
                <c:pt idx="34">
                  <c:v>0.57891524176070641</c:v>
                </c:pt>
                <c:pt idx="35">
                  <c:v>0.58736700622353655</c:v>
                </c:pt>
                <c:pt idx="36">
                  <c:v>0.5956988692763675</c:v>
                </c:pt>
                <c:pt idx="37">
                  <c:v>0.60391579356255098</c:v>
                </c:pt>
                <c:pt idx="38">
                  <c:v>0.61202240855333756</c:v>
                </c:pt>
                <c:pt idx="39">
                  <c:v>0.6200230410465174</c:v>
                </c:pt>
                <c:pt idx="40">
                  <c:v>0.62792174216674024</c:v>
                </c:pt>
                <c:pt idx="41">
                  <c:v>0.63572231134580848</c:v>
                </c:pt>
                <c:pt idx="42">
                  <c:v>0.64342831768581643</c:v>
                </c:pt>
                <c:pt idx="43">
                  <c:v>0.65104311904599899</c:v>
                </c:pt>
                <c:pt idx="44">
                  <c:v>0.65856987914289378</c:v>
                </c:pt>
                <c:pt idx="45">
                  <c:v>0.73995901639344264</c:v>
                </c:pt>
                <c:pt idx="46">
                  <c:v>0.75640255009107471</c:v>
                </c:pt>
                <c:pt idx="47">
                  <c:v>0.77284608378870656</c:v>
                </c:pt>
                <c:pt idx="48">
                  <c:v>0.78928961748633852</c:v>
                </c:pt>
                <c:pt idx="49">
                  <c:v>0.80573315118397082</c:v>
                </c:pt>
                <c:pt idx="50">
                  <c:v>0.82217668488160289</c:v>
                </c:pt>
                <c:pt idx="51">
                  <c:v>0.83862021857923497</c:v>
                </c:pt>
                <c:pt idx="52">
                  <c:v>0.85506375227686693</c:v>
                </c:pt>
                <c:pt idx="53">
                  <c:v>0.871507285974499</c:v>
                </c:pt>
                <c:pt idx="54">
                  <c:v>0.88795081967213108</c:v>
                </c:pt>
                <c:pt idx="55">
                  <c:v>0.90439435336976315</c:v>
                </c:pt>
                <c:pt idx="56">
                  <c:v>0.92083788706739511</c:v>
                </c:pt>
                <c:pt idx="57">
                  <c:v>0.93728142076502718</c:v>
                </c:pt>
                <c:pt idx="58">
                  <c:v>0.95372495446265926</c:v>
                </c:pt>
                <c:pt idx="59">
                  <c:v>0.97016848816029133</c:v>
                </c:pt>
                <c:pt idx="60">
                  <c:v>0.98661202185792329</c:v>
                </c:pt>
                <c:pt idx="61">
                  <c:v>1.0030555555555554</c:v>
                </c:pt>
                <c:pt idx="62">
                  <c:v>1.0194990892531877</c:v>
                </c:pt>
                <c:pt idx="63">
                  <c:v>1.0359426229508195</c:v>
                </c:pt>
                <c:pt idx="64">
                  <c:v>1.0523861566484518</c:v>
                </c:pt>
                <c:pt idx="65">
                  <c:v>1.0688296903460837</c:v>
                </c:pt>
                <c:pt idx="66">
                  <c:v>1.0852732240437157</c:v>
                </c:pt>
                <c:pt idx="67">
                  <c:v>1.1017167577413478</c:v>
                </c:pt>
                <c:pt idx="68">
                  <c:v>1.1181602914389799</c:v>
                </c:pt>
                <c:pt idx="69">
                  <c:v>1.134603825136612</c:v>
                </c:pt>
                <c:pt idx="70">
                  <c:v>1.151047358834244</c:v>
                </c:pt>
                <c:pt idx="71">
                  <c:v>1.1674908925318761</c:v>
                </c:pt>
                <c:pt idx="72">
                  <c:v>1.1839344262295082</c:v>
                </c:pt>
                <c:pt idx="73">
                  <c:v>1.20037795992714</c:v>
                </c:pt>
                <c:pt idx="74">
                  <c:v>1.2168214936247721</c:v>
                </c:pt>
                <c:pt idx="75">
                  <c:v>1.233265027322404</c:v>
                </c:pt>
                <c:pt idx="76">
                  <c:v>1.2497085610200362</c:v>
                </c:pt>
                <c:pt idx="77">
                  <c:v>1.2661520947176683</c:v>
                </c:pt>
                <c:pt idx="78">
                  <c:v>1.2825956284153004</c:v>
                </c:pt>
                <c:pt idx="79">
                  <c:v>1.2990391621129325</c:v>
                </c:pt>
                <c:pt idx="80">
                  <c:v>1.3154826958105645</c:v>
                </c:pt>
                <c:pt idx="81">
                  <c:v>1.3319262295081966</c:v>
                </c:pt>
                <c:pt idx="82">
                  <c:v>1.3483697632058285</c:v>
                </c:pt>
                <c:pt idx="83">
                  <c:v>1.3648132969034605</c:v>
                </c:pt>
                <c:pt idx="84">
                  <c:v>1.3812568306010928</c:v>
                </c:pt>
                <c:pt idx="85">
                  <c:v>1.3977003642987249</c:v>
                </c:pt>
                <c:pt idx="86">
                  <c:v>1.414143897996357</c:v>
                </c:pt>
                <c:pt idx="87">
                  <c:v>1.4305874316939891</c:v>
                </c:pt>
                <c:pt idx="88">
                  <c:v>1.4470309653916209</c:v>
                </c:pt>
                <c:pt idx="89">
                  <c:v>1.45</c:v>
                </c:pt>
                <c:pt idx="90">
                  <c:v>1.45</c:v>
                </c:pt>
                <c:pt idx="91">
                  <c:v>1.45</c:v>
                </c:pt>
                <c:pt idx="92">
                  <c:v>1.45</c:v>
                </c:pt>
                <c:pt idx="93">
                  <c:v>1.45</c:v>
                </c:pt>
                <c:pt idx="94">
                  <c:v>1.45</c:v>
                </c:pt>
                <c:pt idx="95">
                  <c:v>1.45</c:v>
                </c:pt>
                <c:pt idx="96">
                  <c:v>1.45</c:v>
                </c:pt>
                <c:pt idx="97">
                  <c:v>1.45</c:v>
                </c:pt>
                <c:pt idx="98">
                  <c:v>1.45</c:v>
                </c:pt>
                <c:pt idx="99">
                  <c:v>1.45</c:v>
                </c:pt>
                <c:pt idx="100">
                  <c:v>1.45</c:v>
                </c:pt>
              </c:numCache>
            </c:numRef>
          </c:val>
          <c:smooth val="0"/>
        </c:ser>
        <c:dLbls>
          <c:showLegendKey val="0"/>
          <c:showVal val="0"/>
          <c:showCatName val="0"/>
          <c:showSerName val="0"/>
          <c:showPercent val="0"/>
          <c:showBubbleSize val="0"/>
        </c:dLbls>
        <c:marker val="1"/>
        <c:smooth val="0"/>
        <c:axId val="139336320"/>
        <c:axId val="139350784"/>
      </c:lineChart>
      <c:catAx>
        <c:axId val="139336320"/>
        <c:scaling>
          <c:orientation val="minMax"/>
        </c:scaling>
        <c:delete val="0"/>
        <c:axPos val="b"/>
        <c:majorGridlines>
          <c:spPr>
            <a:ln w="15875">
              <a:solidFill>
                <a:srgbClr val="969696"/>
              </a:solidFill>
              <a:prstDash val="sysDash"/>
            </a:ln>
          </c:spPr>
        </c:majorGridlines>
        <c:title>
          <c:tx>
            <c:rich>
              <a:bodyPr/>
              <a:lstStyle/>
              <a:p>
                <a:pPr>
                  <a:defRPr sz="1200" b="1" i="0" u="none" strike="noStrike" baseline="0">
                    <a:solidFill>
                      <a:schemeClr val="tx1"/>
                    </a:solidFill>
                    <a:latin typeface="Arial" pitchFamily="34" charset="0"/>
                    <a:ea typeface="Calibri"/>
                    <a:cs typeface="Arial" pitchFamily="34" charset="0"/>
                  </a:defRPr>
                </a:pPr>
                <a:r>
                  <a:rPr lang="en-US" sz="1200">
                    <a:solidFill>
                      <a:schemeClr val="tx1"/>
                    </a:solidFill>
                    <a:latin typeface="Arial" pitchFamily="34" charset="0"/>
                    <a:cs typeface="Arial" pitchFamily="34" charset="0"/>
                  </a:rPr>
                  <a:t>Load Current (mA)</a:t>
                </a:r>
              </a:p>
            </c:rich>
          </c:tx>
          <c:layout>
            <c:manualLayout>
              <c:xMode val="edge"/>
              <c:yMode val="edge"/>
              <c:x val="0.45424135936496307"/>
              <c:y val="0.9410669161053864"/>
            </c:manualLayout>
          </c:layout>
          <c:overlay val="0"/>
          <c:spPr>
            <a:noFill/>
            <a:ln w="25400">
              <a:noFill/>
            </a:ln>
          </c:spPr>
        </c:title>
        <c:numFmt formatCode="0" sourceLinked="1"/>
        <c:majorTickMark val="in"/>
        <c:minorTickMark val="in"/>
        <c:tickLblPos val="nextTo"/>
        <c:spPr>
          <a:ln w="3175">
            <a:solidFill>
              <a:schemeClr val="tx1"/>
            </a:solidFill>
            <a:prstDash val="solid"/>
          </a:ln>
        </c:spPr>
        <c:txPr>
          <a:bodyPr rot="0" vert="horz"/>
          <a:lstStyle/>
          <a:p>
            <a:pPr>
              <a:defRPr sz="1100" b="1" i="0" u="none" strike="noStrike" baseline="0">
                <a:solidFill>
                  <a:schemeClr val="tx1"/>
                </a:solidFill>
                <a:latin typeface="Arial" pitchFamily="34" charset="0"/>
                <a:ea typeface="Calibri"/>
                <a:cs typeface="Arial" pitchFamily="34" charset="0"/>
              </a:defRPr>
            </a:pPr>
            <a:endParaRPr lang="ko-KR"/>
          </a:p>
        </c:txPr>
        <c:crossAx val="139350784"/>
        <c:crosses val="autoZero"/>
        <c:auto val="1"/>
        <c:lblAlgn val="ctr"/>
        <c:lblOffset val="100"/>
        <c:tickLblSkip val="20"/>
        <c:tickMarkSkip val="10"/>
        <c:noMultiLvlLbl val="0"/>
      </c:catAx>
      <c:valAx>
        <c:axId val="139350784"/>
        <c:scaling>
          <c:orientation val="minMax"/>
          <c:max val="1.4"/>
          <c:min val="0"/>
        </c:scaling>
        <c:delete val="0"/>
        <c:axPos val="l"/>
        <c:majorGridlines>
          <c:spPr>
            <a:ln w="15875">
              <a:solidFill>
                <a:srgbClr val="808080"/>
              </a:solidFill>
              <a:prstDash val="solid"/>
            </a:ln>
          </c:spPr>
        </c:majorGridlines>
        <c:title>
          <c:tx>
            <c:rich>
              <a:bodyPr/>
              <a:lstStyle/>
              <a:p>
                <a:pPr>
                  <a:defRPr sz="1400" b="1" i="0" u="none" strike="noStrike" baseline="0">
                    <a:solidFill>
                      <a:schemeClr val="tx1"/>
                    </a:solidFill>
                    <a:latin typeface="Arial" pitchFamily="34" charset="0"/>
                    <a:ea typeface="Calibri"/>
                    <a:cs typeface="Arial" pitchFamily="34" charset="0"/>
                  </a:defRPr>
                </a:pPr>
                <a:r>
                  <a:rPr lang="en-US" sz="1200" b="1">
                    <a:solidFill>
                      <a:schemeClr val="tx1"/>
                    </a:solidFill>
                    <a:latin typeface="Arial" pitchFamily="34" charset="0"/>
                    <a:cs typeface="Arial" pitchFamily="34" charset="0"/>
                  </a:rPr>
                  <a:t>Peak</a:t>
                </a:r>
                <a:r>
                  <a:rPr lang="en-US" sz="1200" b="1" baseline="0">
                    <a:solidFill>
                      <a:schemeClr val="tx1"/>
                    </a:solidFill>
                    <a:latin typeface="Arial" pitchFamily="34" charset="0"/>
                    <a:cs typeface="Arial" pitchFamily="34" charset="0"/>
                  </a:rPr>
                  <a:t> Primary Current (A)</a:t>
                </a:r>
                <a:endParaRPr lang="en-US" sz="1200" b="1">
                  <a:solidFill>
                    <a:schemeClr val="tx1"/>
                  </a:solidFill>
                  <a:latin typeface="Arial" pitchFamily="34" charset="0"/>
                  <a:cs typeface="Arial" pitchFamily="34" charset="0"/>
                </a:endParaRPr>
              </a:p>
            </c:rich>
          </c:tx>
          <c:layout>
            <c:manualLayout>
              <c:xMode val="edge"/>
              <c:yMode val="edge"/>
              <c:x val="1.8892754684734177E-2"/>
              <c:y val="0.30303578260037478"/>
            </c:manualLayout>
          </c:layout>
          <c:overlay val="0"/>
          <c:spPr>
            <a:noFill/>
            <a:ln w="25400">
              <a:noFill/>
            </a:ln>
          </c:spPr>
        </c:title>
        <c:numFmt formatCode="#,##0.0" sourceLinked="0"/>
        <c:majorTickMark val="out"/>
        <c:minorTickMark val="in"/>
        <c:tickLblPos val="nextTo"/>
        <c:spPr>
          <a:ln w="3175">
            <a:solidFill>
              <a:srgbClr val="000000"/>
            </a:solidFill>
            <a:prstDash val="solid"/>
          </a:ln>
        </c:spPr>
        <c:txPr>
          <a:bodyPr rot="0" vert="horz"/>
          <a:lstStyle/>
          <a:p>
            <a:pPr>
              <a:defRPr sz="1100" b="1" i="0" u="none" strike="noStrike" baseline="0">
                <a:solidFill>
                  <a:schemeClr val="tx1"/>
                </a:solidFill>
                <a:latin typeface="Arial" pitchFamily="34" charset="0"/>
                <a:ea typeface="Calibri"/>
                <a:cs typeface="Arial" pitchFamily="34" charset="0"/>
              </a:defRPr>
            </a:pPr>
            <a:endParaRPr lang="ko-KR"/>
          </a:p>
        </c:txPr>
        <c:crossAx val="139336320"/>
        <c:crossesAt val="0"/>
        <c:crossBetween val="between"/>
      </c:valAx>
      <c:spPr>
        <a:solidFill>
          <a:srgbClr val="FFFFFF"/>
        </a:solidFill>
        <a:ln w="25400">
          <a:noFill/>
        </a:ln>
      </c:spPr>
    </c:plotArea>
    <c:legend>
      <c:legendPos val="t"/>
      <c:layout>
        <c:manualLayout>
          <c:xMode val="edge"/>
          <c:yMode val="edge"/>
          <c:x val="0.50279342989103104"/>
          <c:y val="1.6951025877806759E-2"/>
          <c:w val="0.44417947756530435"/>
          <c:h val="8.9795049320617604E-2"/>
        </c:manualLayout>
      </c:layout>
      <c:overlay val="0"/>
      <c:spPr>
        <a:solidFill>
          <a:srgbClr val="FFFFFF"/>
        </a:solidFill>
        <a:ln w="25400">
          <a:noFill/>
        </a:ln>
      </c:spPr>
      <c:txPr>
        <a:bodyPr/>
        <a:lstStyle/>
        <a:p>
          <a:pPr>
            <a:defRPr sz="1400" b="0" i="0" u="none" strike="noStrike" baseline="0">
              <a:solidFill>
                <a:srgbClr val="000000"/>
              </a:solidFill>
              <a:latin typeface="Arial" pitchFamily="34" charset="0"/>
              <a:ea typeface="Calibri"/>
              <a:cs typeface="Arial" pitchFamily="34" charset="0"/>
            </a:defRPr>
          </a:pPr>
          <a:endParaRPr lang="ko-KR"/>
        </a:p>
      </c:txPr>
    </c:legend>
    <c:plotVisOnly val="1"/>
    <c:dispBlanksAs val="gap"/>
    <c:showDLblsOverMax val="0"/>
  </c:chart>
  <c:spPr>
    <a:solidFill>
      <a:srgbClr val="FFFFFF"/>
    </a:solidFill>
    <a:ln w="9525">
      <a:solidFill>
        <a:srgbClr val="808080"/>
      </a:solidFill>
    </a:ln>
  </c:spPr>
  <c:txPr>
    <a:bodyPr/>
    <a:lstStyle/>
    <a:p>
      <a:pPr>
        <a:defRPr sz="850" b="0" i="0" u="none" strike="noStrike" baseline="0">
          <a:solidFill>
            <a:srgbClr val="000000"/>
          </a:solidFill>
          <a:latin typeface="Arial"/>
          <a:ea typeface="Arial"/>
          <a:cs typeface="Arial"/>
        </a:defRPr>
      </a:pPr>
      <a:endParaRPr lang="ko-KR"/>
    </a:p>
  </c:txPr>
  <c:printSettings>
    <c:headerFooter alignWithMargins="0"/>
    <c:pageMargins b="1" l="0.750000000000006" r="0.750000000000006" t="1" header="0.5" footer="0.5"/>
    <c:pageSetup paperSize="5"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ko-K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280746883383756E-2"/>
          <c:y val="0.12133523343001466"/>
          <c:w val="0.86047278973849184"/>
          <c:h val="0.7558980268938309"/>
        </c:manualLayout>
      </c:layout>
      <c:lineChart>
        <c:grouping val="standard"/>
        <c:varyColors val="0"/>
        <c:ser>
          <c:idx val="1"/>
          <c:order val="0"/>
          <c:tx>
            <c:v>VIN-min</c:v>
          </c:tx>
          <c:spPr>
            <a:ln>
              <a:solidFill>
                <a:srgbClr val="00B050"/>
              </a:solidFill>
              <a:prstDash val="sysDash"/>
            </a:ln>
          </c:spPr>
          <c:marker>
            <c:symbol val="none"/>
          </c:marker>
          <c:val>
            <c:numRef>
              <c:f>'Calculations - Dual'!$AJ$110:$AJ$210</c:f>
              <c:numCache>
                <c:formatCode>0.000</c:formatCode>
                <c:ptCount val="101"/>
                <c:pt idx="0">
                  <c:v>1.0057142857142858</c:v>
                </c:pt>
                <c:pt idx="1">
                  <c:v>1.0155427212502124</c:v>
                </c:pt>
                <c:pt idx="2">
                  <c:v>1.0310854425004248</c:v>
                </c:pt>
                <c:pt idx="3">
                  <c:v>1.0466281637506369</c:v>
                </c:pt>
                <c:pt idx="4">
                  <c:v>1.0621708850008493</c:v>
                </c:pt>
                <c:pt idx="5">
                  <c:v>1.0777136062510617</c:v>
                </c:pt>
                <c:pt idx="6">
                  <c:v>1.0932563275012739</c:v>
                </c:pt>
                <c:pt idx="7">
                  <c:v>1.1087990487514863</c:v>
                </c:pt>
                <c:pt idx="8">
                  <c:v>1.1243417700016987</c:v>
                </c:pt>
                <c:pt idx="9">
                  <c:v>1.139884491251911</c:v>
                </c:pt>
                <c:pt idx="10">
                  <c:v>1.1554272125021234</c:v>
                </c:pt>
                <c:pt idx="11">
                  <c:v>1.1709699337523356</c:v>
                </c:pt>
                <c:pt idx="12">
                  <c:v>1.186512655002548</c:v>
                </c:pt>
                <c:pt idx="13">
                  <c:v>1.2929424350189378</c:v>
                </c:pt>
                <c:pt idx="14">
                  <c:v>1.3166160696215341</c:v>
                </c:pt>
                <c:pt idx="15">
                  <c:v>1.3402897042241304</c:v>
                </c:pt>
                <c:pt idx="16">
                  <c:v>1.3639633388267267</c:v>
                </c:pt>
                <c:pt idx="17">
                  <c:v>1.387636973429323</c:v>
                </c:pt>
                <c:pt idx="18">
                  <c:v>1.4113106080319195</c:v>
                </c:pt>
                <c:pt idx="19">
                  <c:v>1.4349842426345158</c:v>
                </c:pt>
                <c:pt idx="20">
                  <c:v>1.4586578772371122</c:v>
                </c:pt>
                <c:pt idx="21">
                  <c:v>1.4823315118397087</c:v>
                </c:pt>
                <c:pt idx="22">
                  <c:v>1.506005146442305</c:v>
                </c:pt>
                <c:pt idx="23">
                  <c:v>1.5296787810449013</c:v>
                </c:pt>
                <c:pt idx="24">
                  <c:v>1.5533524156474976</c:v>
                </c:pt>
                <c:pt idx="25">
                  <c:v>1.5770260502500939</c:v>
                </c:pt>
                <c:pt idx="26">
                  <c:v>1.6006996848526904</c:v>
                </c:pt>
                <c:pt idx="27">
                  <c:v>1.6243733194552867</c:v>
                </c:pt>
                <c:pt idx="28">
                  <c:v>1.648046954057883</c:v>
                </c:pt>
                <c:pt idx="29">
                  <c:v>1.6717205886604793</c:v>
                </c:pt>
                <c:pt idx="30">
                  <c:v>1.6953942232630759</c:v>
                </c:pt>
                <c:pt idx="31">
                  <c:v>1.7190678578656722</c:v>
                </c:pt>
                <c:pt idx="32">
                  <c:v>1.7427414924682685</c:v>
                </c:pt>
                <c:pt idx="33">
                  <c:v>1.7664151270708648</c:v>
                </c:pt>
                <c:pt idx="34">
                  <c:v>1.7900887616734611</c:v>
                </c:pt>
                <c:pt idx="35">
                  <c:v>1.8137623962760574</c:v>
                </c:pt>
                <c:pt idx="36">
                  <c:v>1.8374360308786537</c:v>
                </c:pt>
                <c:pt idx="37">
                  <c:v>1.8611096654812502</c:v>
                </c:pt>
                <c:pt idx="38">
                  <c:v>1.8847833000838465</c:v>
                </c:pt>
                <c:pt idx="39">
                  <c:v>1.9084569346864428</c:v>
                </c:pt>
                <c:pt idx="40">
                  <c:v>1.9321305692890391</c:v>
                </c:pt>
                <c:pt idx="41">
                  <c:v>1.9558042038916357</c:v>
                </c:pt>
                <c:pt idx="42">
                  <c:v>1.979477838494232</c:v>
                </c:pt>
                <c:pt idx="43">
                  <c:v>2.0031514730968283</c:v>
                </c:pt>
                <c:pt idx="44">
                  <c:v>2.0268251076994246</c:v>
                </c:pt>
                <c:pt idx="45">
                  <c:v>2.0504987423020209</c:v>
                </c:pt>
                <c:pt idx="46">
                  <c:v>2.0592592592592593</c:v>
                </c:pt>
                <c:pt idx="47">
                  <c:v>2.0592592592592593</c:v>
                </c:pt>
                <c:pt idx="48">
                  <c:v>2.0592592592592593</c:v>
                </c:pt>
                <c:pt idx="49">
                  <c:v>2.0592592592592593</c:v>
                </c:pt>
                <c:pt idx="50">
                  <c:v>2.0592592592592593</c:v>
                </c:pt>
                <c:pt idx="51">
                  <c:v>2.0592592592592593</c:v>
                </c:pt>
                <c:pt idx="52">
                  <c:v>2.0592592592592593</c:v>
                </c:pt>
                <c:pt idx="53">
                  <c:v>2.0592592592592593</c:v>
                </c:pt>
                <c:pt idx="54">
                  <c:v>2.0592592592592593</c:v>
                </c:pt>
                <c:pt idx="55">
                  <c:v>2.0592592592592593</c:v>
                </c:pt>
                <c:pt idx="56">
                  <c:v>2.0592592592592593</c:v>
                </c:pt>
                <c:pt idx="57">
                  <c:v>2.0592592592592593</c:v>
                </c:pt>
                <c:pt idx="58">
                  <c:v>2.0592592592592593</c:v>
                </c:pt>
                <c:pt idx="59">
                  <c:v>2.0592592592592593</c:v>
                </c:pt>
                <c:pt idx="60">
                  <c:v>2.0592592592592593</c:v>
                </c:pt>
                <c:pt idx="61">
                  <c:v>2.0592592592592593</c:v>
                </c:pt>
                <c:pt idx="62">
                  <c:v>2.0592592592592593</c:v>
                </c:pt>
                <c:pt idx="63">
                  <c:v>2.0592592592592593</c:v>
                </c:pt>
                <c:pt idx="64">
                  <c:v>2.0592592592592593</c:v>
                </c:pt>
                <c:pt idx="65">
                  <c:v>2.0592592592592593</c:v>
                </c:pt>
                <c:pt idx="66">
                  <c:v>2.0592592592592593</c:v>
                </c:pt>
                <c:pt idx="67">
                  <c:v>2.0592592592592593</c:v>
                </c:pt>
                <c:pt idx="68">
                  <c:v>2.0592592592592593</c:v>
                </c:pt>
                <c:pt idx="69">
                  <c:v>2.0592592592592593</c:v>
                </c:pt>
                <c:pt idx="70">
                  <c:v>2.0592592592592593</c:v>
                </c:pt>
                <c:pt idx="71">
                  <c:v>2.0592592592592593</c:v>
                </c:pt>
                <c:pt idx="72">
                  <c:v>2.0592592592592593</c:v>
                </c:pt>
                <c:pt idx="73">
                  <c:v>2.0592592592592593</c:v>
                </c:pt>
                <c:pt idx="74">
                  <c:v>2.0592592592592593</c:v>
                </c:pt>
                <c:pt idx="75">
                  <c:v>2.0592592592592593</c:v>
                </c:pt>
                <c:pt idx="76">
                  <c:v>2.0592592592592593</c:v>
                </c:pt>
                <c:pt idx="77">
                  <c:v>2.0592592592592593</c:v>
                </c:pt>
                <c:pt idx="78">
                  <c:v>2.0592592592592593</c:v>
                </c:pt>
                <c:pt idx="79">
                  <c:v>2.0592592592592593</c:v>
                </c:pt>
                <c:pt idx="80">
                  <c:v>2.0592592592592593</c:v>
                </c:pt>
                <c:pt idx="81">
                  <c:v>2.0592592592592593</c:v>
                </c:pt>
                <c:pt idx="82">
                  <c:v>2.0592592592592593</c:v>
                </c:pt>
                <c:pt idx="83">
                  <c:v>2.0592592592592593</c:v>
                </c:pt>
                <c:pt idx="84">
                  <c:v>2.0592592592592593</c:v>
                </c:pt>
                <c:pt idx="85">
                  <c:v>2.0592592592592593</c:v>
                </c:pt>
                <c:pt idx="86">
                  <c:v>2.0592592592592593</c:v>
                </c:pt>
                <c:pt idx="87">
                  <c:v>2.0592592592592593</c:v>
                </c:pt>
                <c:pt idx="88">
                  <c:v>2.0592592592592593</c:v>
                </c:pt>
                <c:pt idx="89">
                  <c:v>2.0592592592592593</c:v>
                </c:pt>
                <c:pt idx="90">
                  <c:v>2.0592592592592593</c:v>
                </c:pt>
                <c:pt idx="91">
                  <c:v>2.0592592592592593</c:v>
                </c:pt>
                <c:pt idx="92">
                  <c:v>2.0592592592592593</c:v>
                </c:pt>
                <c:pt idx="93">
                  <c:v>2.0592592592592593</c:v>
                </c:pt>
                <c:pt idx="94">
                  <c:v>2.0592592592592593</c:v>
                </c:pt>
                <c:pt idx="95">
                  <c:v>2.0592592592592593</c:v>
                </c:pt>
                <c:pt idx="96">
                  <c:v>2.0592592592592593</c:v>
                </c:pt>
                <c:pt idx="97">
                  <c:v>2.0592592592592593</c:v>
                </c:pt>
                <c:pt idx="98">
                  <c:v>2.0592592592592593</c:v>
                </c:pt>
                <c:pt idx="99">
                  <c:v>2.0592592592592593</c:v>
                </c:pt>
                <c:pt idx="100">
                  <c:v>2.0592592592592593</c:v>
                </c:pt>
              </c:numCache>
            </c:numRef>
          </c:val>
          <c:smooth val="0"/>
        </c:ser>
        <c:ser>
          <c:idx val="0"/>
          <c:order val="1"/>
          <c:tx>
            <c:v>VIN-nom</c:v>
          </c:tx>
          <c:spPr>
            <a:ln w="28575">
              <a:solidFill>
                <a:srgbClr val="0000FF"/>
              </a:solidFill>
              <a:prstDash val="lgDash"/>
            </a:ln>
          </c:spPr>
          <c:marker>
            <c:symbol val="none"/>
          </c:marker>
          <c:cat>
            <c:numRef>
              <c:f>'Calculations - Dual'!$AL$5:$AL$105</c:f>
              <c:numCache>
                <c:formatCode>0</c:formatCode>
                <c:ptCount val="101"/>
                <c:pt idx="0">
                  <c:v>1.0000000000000002E-6</c:v>
                </c:pt>
                <c:pt idx="1">
                  <c:v>3</c:v>
                </c:pt>
                <c:pt idx="2">
                  <c:v>6</c:v>
                </c:pt>
                <c:pt idx="3">
                  <c:v>9</c:v>
                </c:pt>
                <c:pt idx="4">
                  <c:v>12</c:v>
                </c:pt>
                <c:pt idx="5">
                  <c:v>15</c:v>
                </c:pt>
                <c:pt idx="6">
                  <c:v>18</c:v>
                </c:pt>
                <c:pt idx="7">
                  <c:v>21</c:v>
                </c:pt>
                <c:pt idx="8">
                  <c:v>24</c:v>
                </c:pt>
                <c:pt idx="9">
                  <c:v>27</c:v>
                </c:pt>
                <c:pt idx="10">
                  <c:v>30</c:v>
                </c:pt>
                <c:pt idx="11">
                  <c:v>33</c:v>
                </c:pt>
                <c:pt idx="12">
                  <c:v>36</c:v>
                </c:pt>
                <c:pt idx="13">
                  <c:v>39</c:v>
                </c:pt>
                <c:pt idx="14">
                  <c:v>42</c:v>
                </c:pt>
                <c:pt idx="15">
                  <c:v>45</c:v>
                </c:pt>
                <c:pt idx="16">
                  <c:v>48</c:v>
                </c:pt>
                <c:pt idx="17">
                  <c:v>51.000000000000007</c:v>
                </c:pt>
                <c:pt idx="18">
                  <c:v>54</c:v>
                </c:pt>
                <c:pt idx="19">
                  <c:v>56.999999999999993</c:v>
                </c:pt>
                <c:pt idx="20">
                  <c:v>60</c:v>
                </c:pt>
                <c:pt idx="21">
                  <c:v>63</c:v>
                </c:pt>
                <c:pt idx="22">
                  <c:v>66</c:v>
                </c:pt>
                <c:pt idx="23">
                  <c:v>69</c:v>
                </c:pt>
                <c:pt idx="24">
                  <c:v>72</c:v>
                </c:pt>
                <c:pt idx="25">
                  <c:v>75</c:v>
                </c:pt>
                <c:pt idx="26">
                  <c:v>78</c:v>
                </c:pt>
                <c:pt idx="27">
                  <c:v>81</c:v>
                </c:pt>
                <c:pt idx="28">
                  <c:v>84</c:v>
                </c:pt>
                <c:pt idx="29">
                  <c:v>87</c:v>
                </c:pt>
                <c:pt idx="30">
                  <c:v>90</c:v>
                </c:pt>
                <c:pt idx="31">
                  <c:v>93</c:v>
                </c:pt>
                <c:pt idx="32">
                  <c:v>96</c:v>
                </c:pt>
                <c:pt idx="33">
                  <c:v>99</c:v>
                </c:pt>
                <c:pt idx="34">
                  <c:v>102.00000000000001</c:v>
                </c:pt>
                <c:pt idx="35">
                  <c:v>105</c:v>
                </c:pt>
                <c:pt idx="36">
                  <c:v>108</c:v>
                </c:pt>
                <c:pt idx="37">
                  <c:v>111</c:v>
                </c:pt>
                <c:pt idx="38">
                  <c:v>113.99999999999999</c:v>
                </c:pt>
                <c:pt idx="39">
                  <c:v>117</c:v>
                </c:pt>
                <c:pt idx="40">
                  <c:v>120</c:v>
                </c:pt>
                <c:pt idx="41">
                  <c:v>122.99999999999999</c:v>
                </c:pt>
                <c:pt idx="42">
                  <c:v>126</c:v>
                </c:pt>
                <c:pt idx="43">
                  <c:v>129</c:v>
                </c:pt>
                <c:pt idx="44">
                  <c:v>132</c:v>
                </c:pt>
                <c:pt idx="45">
                  <c:v>135</c:v>
                </c:pt>
                <c:pt idx="46">
                  <c:v>138</c:v>
                </c:pt>
                <c:pt idx="47">
                  <c:v>141</c:v>
                </c:pt>
                <c:pt idx="48">
                  <c:v>144</c:v>
                </c:pt>
                <c:pt idx="49">
                  <c:v>147</c:v>
                </c:pt>
                <c:pt idx="50">
                  <c:v>150</c:v>
                </c:pt>
                <c:pt idx="51">
                  <c:v>153</c:v>
                </c:pt>
                <c:pt idx="52">
                  <c:v>156</c:v>
                </c:pt>
                <c:pt idx="53">
                  <c:v>159</c:v>
                </c:pt>
                <c:pt idx="54">
                  <c:v>162</c:v>
                </c:pt>
                <c:pt idx="55">
                  <c:v>165</c:v>
                </c:pt>
                <c:pt idx="56">
                  <c:v>168</c:v>
                </c:pt>
                <c:pt idx="57">
                  <c:v>170.99999999999997</c:v>
                </c:pt>
                <c:pt idx="58">
                  <c:v>174</c:v>
                </c:pt>
                <c:pt idx="59">
                  <c:v>177</c:v>
                </c:pt>
                <c:pt idx="60">
                  <c:v>180</c:v>
                </c:pt>
                <c:pt idx="61">
                  <c:v>183</c:v>
                </c:pt>
                <c:pt idx="62">
                  <c:v>186</c:v>
                </c:pt>
                <c:pt idx="63">
                  <c:v>189</c:v>
                </c:pt>
                <c:pt idx="64">
                  <c:v>192</c:v>
                </c:pt>
                <c:pt idx="65">
                  <c:v>195</c:v>
                </c:pt>
                <c:pt idx="66">
                  <c:v>198</c:v>
                </c:pt>
                <c:pt idx="67">
                  <c:v>201</c:v>
                </c:pt>
                <c:pt idx="68">
                  <c:v>204.00000000000003</c:v>
                </c:pt>
                <c:pt idx="69">
                  <c:v>207</c:v>
                </c:pt>
                <c:pt idx="70">
                  <c:v>210</c:v>
                </c:pt>
                <c:pt idx="71">
                  <c:v>213</c:v>
                </c:pt>
                <c:pt idx="72">
                  <c:v>216</c:v>
                </c:pt>
                <c:pt idx="73">
                  <c:v>219</c:v>
                </c:pt>
                <c:pt idx="74">
                  <c:v>222</c:v>
                </c:pt>
                <c:pt idx="75">
                  <c:v>224.99999999999997</c:v>
                </c:pt>
                <c:pt idx="76">
                  <c:v>227.99999999999997</c:v>
                </c:pt>
                <c:pt idx="77">
                  <c:v>230.99999999999997</c:v>
                </c:pt>
                <c:pt idx="78">
                  <c:v>234</c:v>
                </c:pt>
                <c:pt idx="79">
                  <c:v>237</c:v>
                </c:pt>
                <c:pt idx="80">
                  <c:v>240</c:v>
                </c:pt>
                <c:pt idx="81">
                  <c:v>243</c:v>
                </c:pt>
                <c:pt idx="82">
                  <c:v>245.99999999999997</c:v>
                </c:pt>
                <c:pt idx="83">
                  <c:v>248.99999999999997</c:v>
                </c:pt>
                <c:pt idx="84">
                  <c:v>252</c:v>
                </c:pt>
                <c:pt idx="85">
                  <c:v>255</c:v>
                </c:pt>
                <c:pt idx="86">
                  <c:v>258</c:v>
                </c:pt>
                <c:pt idx="87">
                  <c:v>261</c:v>
                </c:pt>
                <c:pt idx="88">
                  <c:v>264</c:v>
                </c:pt>
                <c:pt idx="89">
                  <c:v>267</c:v>
                </c:pt>
                <c:pt idx="90">
                  <c:v>270</c:v>
                </c:pt>
                <c:pt idx="91">
                  <c:v>273</c:v>
                </c:pt>
                <c:pt idx="92">
                  <c:v>276</c:v>
                </c:pt>
                <c:pt idx="93">
                  <c:v>279</c:v>
                </c:pt>
                <c:pt idx="94">
                  <c:v>282</c:v>
                </c:pt>
                <c:pt idx="95">
                  <c:v>285</c:v>
                </c:pt>
                <c:pt idx="96">
                  <c:v>288</c:v>
                </c:pt>
                <c:pt idx="97">
                  <c:v>291</c:v>
                </c:pt>
                <c:pt idx="98">
                  <c:v>294</c:v>
                </c:pt>
                <c:pt idx="99">
                  <c:v>297</c:v>
                </c:pt>
                <c:pt idx="100">
                  <c:v>300</c:v>
                </c:pt>
              </c:numCache>
            </c:numRef>
          </c:cat>
          <c:val>
            <c:numRef>
              <c:f>'Calculations - Dual'!$AJ$5:$AJ$105</c:f>
              <c:numCache>
                <c:formatCode>0.000</c:formatCode>
                <c:ptCount val="101"/>
                <c:pt idx="0">
                  <c:v>1.0057142857142858</c:v>
                </c:pt>
                <c:pt idx="1">
                  <c:v>1.0155427212502124</c:v>
                </c:pt>
                <c:pt idx="2">
                  <c:v>1.0310854425004248</c:v>
                </c:pt>
                <c:pt idx="3">
                  <c:v>1.0466281637506369</c:v>
                </c:pt>
                <c:pt idx="4">
                  <c:v>1.0621708850008493</c:v>
                </c:pt>
                <c:pt idx="5">
                  <c:v>1.0777136062510617</c:v>
                </c:pt>
                <c:pt idx="6">
                  <c:v>1.0932563275012739</c:v>
                </c:pt>
                <c:pt idx="7">
                  <c:v>1.1087990487514863</c:v>
                </c:pt>
                <c:pt idx="8">
                  <c:v>1.1243417700016987</c:v>
                </c:pt>
                <c:pt idx="9">
                  <c:v>1.139884491251911</c:v>
                </c:pt>
                <c:pt idx="10">
                  <c:v>1.1554272125021234</c:v>
                </c:pt>
                <c:pt idx="11">
                  <c:v>1.1709699337523356</c:v>
                </c:pt>
                <c:pt idx="12">
                  <c:v>1.186512655002548</c:v>
                </c:pt>
                <c:pt idx="13">
                  <c:v>1.2503484960385016</c:v>
                </c:pt>
                <c:pt idx="14">
                  <c:v>1.2603581573482474</c:v>
                </c:pt>
                <c:pt idx="15">
                  <c:v>1.2700162716125876</c:v>
                </c:pt>
                <c:pt idx="16">
                  <c:v>1.2793574663093172</c:v>
                </c:pt>
                <c:pt idx="17">
                  <c:v>1.2884110319861075</c:v>
                </c:pt>
                <c:pt idx="18">
                  <c:v>1.2972020074151689</c:v>
                </c:pt>
                <c:pt idx="19">
                  <c:v>1.3057519965379174</c:v>
                </c:pt>
                <c:pt idx="20">
                  <c:v>1.3140797940300539</c:v>
                </c:pt>
                <c:pt idx="21">
                  <c:v>1.3222018715874762</c:v>
                </c:pt>
                <c:pt idx="22">
                  <c:v>1.3301327610571445</c:v>
                </c:pt>
                <c:pt idx="23">
                  <c:v>1.3378853599601661</c:v>
                </c:pt>
                <c:pt idx="24">
                  <c:v>1.3454711777975306</c:v>
                </c:pt>
                <c:pt idx="25">
                  <c:v>1.3529005365903504</c:v>
                </c:pt>
                <c:pt idx="26">
                  <c:v>1.3601827356376983</c:v>
                </c:pt>
                <c:pt idx="27">
                  <c:v>1.3673261879992591</c:v>
                </c:pt>
                <c:pt idx="28">
                  <c:v>1.3743385344167021</c:v>
                </c:pt>
                <c:pt idx="29">
                  <c:v>1.3812267390712236</c:v>
                </c:pt>
                <c:pt idx="30">
                  <c:v>1.387997170596281</c:v>
                </c:pt>
                <c:pt idx="31">
                  <c:v>1.3946556710290245</c:v>
                </c:pt>
                <c:pt idx="32">
                  <c:v>1.4012076148251635</c:v>
                </c:pt>
                <c:pt idx="33">
                  <c:v>1.4076579596333285</c:v>
                </c:pt>
                <c:pt idx="34">
                  <c:v>1.4140112901931159</c:v>
                </c:pt>
                <c:pt idx="35">
                  <c:v>1.4202718564618788</c:v>
                </c:pt>
                <c:pt idx="36">
                  <c:v>1.5940497874924104</c:v>
                </c:pt>
                <c:pt idx="37">
                  <c:v>1.6109626931120555</c:v>
                </c:pt>
                <c:pt idx="38">
                  <c:v>1.6278755987317006</c:v>
                </c:pt>
                <c:pt idx="39">
                  <c:v>1.6447885043513457</c:v>
                </c:pt>
                <c:pt idx="40">
                  <c:v>1.6617014099709908</c:v>
                </c:pt>
                <c:pt idx="41">
                  <c:v>1.6786143155906359</c:v>
                </c:pt>
                <c:pt idx="42">
                  <c:v>1.6955272212102812</c:v>
                </c:pt>
                <c:pt idx="43">
                  <c:v>1.7124401268299265</c:v>
                </c:pt>
                <c:pt idx="44">
                  <c:v>1.7293530324495716</c:v>
                </c:pt>
                <c:pt idx="45">
                  <c:v>1.7462659380692167</c:v>
                </c:pt>
                <c:pt idx="46">
                  <c:v>1.7631788436888618</c:v>
                </c:pt>
                <c:pt idx="47">
                  <c:v>1.7800917493085067</c:v>
                </c:pt>
                <c:pt idx="48">
                  <c:v>1.797004654928152</c:v>
                </c:pt>
                <c:pt idx="49">
                  <c:v>1.8139175605477973</c:v>
                </c:pt>
                <c:pt idx="50">
                  <c:v>1.8308304661674424</c:v>
                </c:pt>
                <c:pt idx="51">
                  <c:v>1.8477433717870875</c:v>
                </c:pt>
                <c:pt idx="52">
                  <c:v>1.8646562774067326</c:v>
                </c:pt>
                <c:pt idx="53">
                  <c:v>1.8815691830263779</c:v>
                </c:pt>
                <c:pt idx="54">
                  <c:v>1.898482088646023</c:v>
                </c:pt>
                <c:pt idx="55">
                  <c:v>1.9153949942656681</c:v>
                </c:pt>
                <c:pt idx="56">
                  <c:v>1.9323078998853132</c:v>
                </c:pt>
                <c:pt idx="57">
                  <c:v>1.9492208055049582</c:v>
                </c:pt>
                <c:pt idx="58">
                  <c:v>1.9661337111246033</c:v>
                </c:pt>
                <c:pt idx="59">
                  <c:v>1.9830466167442486</c:v>
                </c:pt>
                <c:pt idx="60">
                  <c:v>1.9999595223638937</c:v>
                </c:pt>
                <c:pt idx="61">
                  <c:v>2.0168724279835386</c:v>
                </c:pt>
                <c:pt idx="62">
                  <c:v>2.0337853336031841</c:v>
                </c:pt>
                <c:pt idx="63">
                  <c:v>2.0506982392228292</c:v>
                </c:pt>
                <c:pt idx="64">
                  <c:v>2.0592592592592593</c:v>
                </c:pt>
                <c:pt idx="65">
                  <c:v>2.0592592592592593</c:v>
                </c:pt>
                <c:pt idx="66">
                  <c:v>2.0592592592592593</c:v>
                </c:pt>
                <c:pt idx="67">
                  <c:v>2.0592592592592593</c:v>
                </c:pt>
                <c:pt idx="68">
                  <c:v>2.0592592592592593</c:v>
                </c:pt>
                <c:pt idx="69">
                  <c:v>2.0592592592592593</c:v>
                </c:pt>
                <c:pt idx="70">
                  <c:v>2.0592592592592593</c:v>
                </c:pt>
                <c:pt idx="71">
                  <c:v>2.0592592592592593</c:v>
                </c:pt>
                <c:pt idx="72">
                  <c:v>2.0592592592592593</c:v>
                </c:pt>
                <c:pt idx="73">
                  <c:v>2.0592592592592593</c:v>
                </c:pt>
                <c:pt idx="74">
                  <c:v>2.0592592592592593</c:v>
                </c:pt>
                <c:pt idx="75">
                  <c:v>2.0592592592592593</c:v>
                </c:pt>
                <c:pt idx="76">
                  <c:v>2.0592592592592593</c:v>
                </c:pt>
                <c:pt idx="77">
                  <c:v>2.0592592592592593</c:v>
                </c:pt>
                <c:pt idx="78">
                  <c:v>2.0592592592592593</c:v>
                </c:pt>
                <c:pt idx="79">
                  <c:v>2.0592592592592593</c:v>
                </c:pt>
                <c:pt idx="80">
                  <c:v>2.0592592592592593</c:v>
                </c:pt>
                <c:pt idx="81">
                  <c:v>2.0592592592592593</c:v>
                </c:pt>
                <c:pt idx="82">
                  <c:v>2.0592592592592593</c:v>
                </c:pt>
                <c:pt idx="83">
                  <c:v>2.0592592592592593</c:v>
                </c:pt>
                <c:pt idx="84">
                  <c:v>2.0592592592592593</c:v>
                </c:pt>
                <c:pt idx="85">
                  <c:v>2.0592592592592593</c:v>
                </c:pt>
                <c:pt idx="86">
                  <c:v>2.0592592592592593</c:v>
                </c:pt>
                <c:pt idx="87">
                  <c:v>2.0592592592592593</c:v>
                </c:pt>
                <c:pt idx="88">
                  <c:v>2.0592592592592593</c:v>
                </c:pt>
                <c:pt idx="89">
                  <c:v>2.0592592592592593</c:v>
                </c:pt>
                <c:pt idx="90">
                  <c:v>2.0592592592592593</c:v>
                </c:pt>
                <c:pt idx="91">
                  <c:v>2.0592592592592593</c:v>
                </c:pt>
                <c:pt idx="92">
                  <c:v>2.0592592592592593</c:v>
                </c:pt>
                <c:pt idx="93">
                  <c:v>2.0592592592592593</c:v>
                </c:pt>
                <c:pt idx="94">
                  <c:v>2.0592592592592593</c:v>
                </c:pt>
                <c:pt idx="95">
                  <c:v>2.0592592592592593</c:v>
                </c:pt>
                <c:pt idx="96">
                  <c:v>2.0592592592592593</c:v>
                </c:pt>
                <c:pt idx="97">
                  <c:v>2.0592592592592593</c:v>
                </c:pt>
                <c:pt idx="98">
                  <c:v>2.0592592592592593</c:v>
                </c:pt>
                <c:pt idx="99">
                  <c:v>2.0592592592592593</c:v>
                </c:pt>
                <c:pt idx="100">
                  <c:v>2.0592592592592593</c:v>
                </c:pt>
              </c:numCache>
            </c:numRef>
          </c:val>
          <c:smooth val="0"/>
        </c:ser>
        <c:ser>
          <c:idx val="2"/>
          <c:order val="2"/>
          <c:tx>
            <c:v>VIN-max</c:v>
          </c:tx>
          <c:spPr>
            <a:ln>
              <a:solidFill>
                <a:srgbClr val="FF0000"/>
              </a:solidFill>
              <a:prstDash val="solid"/>
            </a:ln>
          </c:spPr>
          <c:marker>
            <c:symbol val="none"/>
          </c:marker>
          <c:val>
            <c:numRef>
              <c:f>'Calculations - Dual'!$AJ$216:$AJ$316</c:f>
              <c:numCache>
                <c:formatCode>0.000</c:formatCode>
                <c:ptCount val="101"/>
                <c:pt idx="0">
                  <c:v>1.0057142857142858</c:v>
                </c:pt>
                <c:pt idx="1">
                  <c:v>1.0155427212502124</c:v>
                </c:pt>
                <c:pt idx="2">
                  <c:v>1.0310854425004248</c:v>
                </c:pt>
                <c:pt idx="3">
                  <c:v>1.0466281637506369</c:v>
                </c:pt>
                <c:pt idx="4">
                  <c:v>1.0621708850008493</c:v>
                </c:pt>
                <c:pt idx="5">
                  <c:v>1.0777136062510617</c:v>
                </c:pt>
                <c:pt idx="6">
                  <c:v>1.0932563275012739</c:v>
                </c:pt>
                <c:pt idx="7">
                  <c:v>1.1087990487514863</c:v>
                </c:pt>
                <c:pt idx="8">
                  <c:v>1.1243417700016987</c:v>
                </c:pt>
                <c:pt idx="9">
                  <c:v>1.139884491251911</c:v>
                </c:pt>
                <c:pt idx="10">
                  <c:v>1.1554272125021234</c:v>
                </c:pt>
                <c:pt idx="11">
                  <c:v>1.1709699337523356</c:v>
                </c:pt>
                <c:pt idx="12">
                  <c:v>1.186512655002548</c:v>
                </c:pt>
                <c:pt idx="13">
                  <c:v>1.2503484960385016</c:v>
                </c:pt>
                <c:pt idx="14">
                  <c:v>1.2603581573482474</c:v>
                </c:pt>
                <c:pt idx="15">
                  <c:v>1.2700162716125876</c:v>
                </c:pt>
                <c:pt idx="16">
                  <c:v>1.2793574663093172</c:v>
                </c:pt>
                <c:pt idx="17">
                  <c:v>1.2884110319861075</c:v>
                </c:pt>
                <c:pt idx="18">
                  <c:v>1.2972020074151689</c:v>
                </c:pt>
                <c:pt idx="19">
                  <c:v>1.3057519965379174</c:v>
                </c:pt>
                <c:pt idx="20">
                  <c:v>1.3140797940300539</c:v>
                </c:pt>
                <c:pt idx="21">
                  <c:v>1.3222018715874762</c:v>
                </c:pt>
                <c:pt idx="22">
                  <c:v>1.3301327610571445</c:v>
                </c:pt>
                <c:pt idx="23">
                  <c:v>1.3378853599601661</c:v>
                </c:pt>
                <c:pt idx="24">
                  <c:v>1.3454711777975306</c:v>
                </c:pt>
                <c:pt idx="25">
                  <c:v>1.3529005365903504</c:v>
                </c:pt>
                <c:pt idx="26">
                  <c:v>1.3601827356376983</c:v>
                </c:pt>
                <c:pt idx="27">
                  <c:v>1.3673261879992591</c:v>
                </c:pt>
                <c:pt idx="28">
                  <c:v>1.3743385344167021</c:v>
                </c:pt>
                <c:pt idx="29">
                  <c:v>1.3812267390712236</c:v>
                </c:pt>
                <c:pt idx="30">
                  <c:v>1.387997170596281</c:v>
                </c:pt>
                <c:pt idx="31">
                  <c:v>1.3946556710290245</c:v>
                </c:pt>
                <c:pt idx="32">
                  <c:v>1.4012076148251635</c:v>
                </c:pt>
                <c:pt idx="33">
                  <c:v>1.4076579596333285</c:v>
                </c:pt>
                <c:pt idx="34">
                  <c:v>1.4140112901931159</c:v>
                </c:pt>
                <c:pt idx="35">
                  <c:v>1.4202718564618788</c:v>
                </c:pt>
                <c:pt idx="36">
                  <c:v>1.4264436068713833</c:v>
                </c:pt>
                <c:pt idx="37">
                  <c:v>1.4325302174537415</c:v>
                </c:pt>
                <c:pt idx="38">
                  <c:v>1.4385351174469168</c:v>
                </c:pt>
                <c:pt idx="39">
                  <c:v>1.4444615118863091</c:v>
                </c:pt>
                <c:pt idx="40">
                  <c:v>1.4503124016049926</c:v>
                </c:pt>
                <c:pt idx="41">
                  <c:v>1.456090600996895</c:v>
                </c:pt>
                <c:pt idx="42">
                  <c:v>1.4617987538413455</c:v>
                </c:pt>
                <c:pt idx="43">
                  <c:v>1.4674393474414806</c:v>
                </c:pt>
                <c:pt idx="44">
                  <c:v>1.4730147252910324</c:v>
                </c:pt>
                <c:pt idx="45">
                  <c:v>1.5333029751062539</c:v>
                </c:pt>
                <c:pt idx="46">
                  <c:v>1.545483370437833</c:v>
                </c:pt>
                <c:pt idx="47">
                  <c:v>1.5576637657694121</c:v>
                </c:pt>
                <c:pt idx="48">
                  <c:v>1.5698441611009915</c:v>
                </c:pt>
                <c:pt idx="49">
                  <c:v>1.582024556432571</c:v>
                </c:pt>
                <c:pt idx="50">
                  <c:v>1.5942049517641503</c:v>
                </c:pt>
                <c:pt idx="51">
                  <c:v>1.6063853470957297</c:v>
                </c:pt>
                <c:pt idx="52">
                  <c:v>1.6185657424273088</c:v>
                </c:pt>
                <c:pt idx="53">
                  <c:v>1.6307461377588881</c:v>
                </c:pt>
                <c:pt idx="54">
                  <c:v>1.6429265330904674</c:v>
                </c:pt>
                <c:pt idx="55">
                  <c:v>1.6551069284220468</c:v>
                </c:pt>
                <c:pt idx="56">
                  <c:v>1.6672873237536261</c:v>
                </c:pt>
                <c:pt idx="57">
                  <c:v>1.6794677190852054</c:v>
                </c:pt>
                <c:pt idx="58">
                  <c:v>1.6916481144167848</c:v>
                </c:pt>
                <c:pt idx="59">
                  <c:v>1.7038285097483641</c:v>
                </c:pt>
                <c:pt idx="60">
                  <c:v>1.716008905079943</c:v>
                </c:pt>
                <c:pt idx="61">
                  <c:v>1.7281893004115223</c:v>
                </c:pt>
                <c:pt idx="62">
                  <c:v>1.7403696957431019</c:v>
                </c:pt>
                <c:pt idx="63">
                  <c:v>1.752550091074681</c:v>
                </c:pt>
                <c:pt idx="64">
                  <c:v>1.7647304864062605</c:v>
                </c:pt>
                <c:pt idx="65">
                  <c:v>1.7769108817378396</c:v>
                </c:pt>
                <c:pt idx="66">
                  <c:v>1.789091277069419</c:v>
                </c:pt>
                <c:pt idx="67">
                  <c:v>1.8012716724009983</c:v>
                </c:pt>
                <c:pt idx="68">
                  <c:v>1.8134520677325776</c:v>
                </c:pt>
                <c:pt idx="69">
                  <c:v>1.8256324630641569</c:v>
                </c:pt>
                <c:pt idx="70">
                  <c:v>1.8378128583957363</c:v>
                </c:pt>
                <c:pt idx="71">
                  <c:v>1.8499932537273156</c:v>
                </c:pt>
                <c:pt idx="72">
                  <c:v>1.8621736490588949</c:v>
                </c:pt>
                <c:pt idx="73">
                  <c:v>1.874354044390474</c:v>
                </c:pt>
                <c:pt idx="74">
                  <c:v>1.8865344397220534</c:v>
                </c:pt>
                <c:pt idx="75">
                  <c:v>1.8987148350536325</c:v>
                </c:pt>
                <c:pt idx="76">
                  <c:v>1.910895230385212</c:v>
                </c:pt>
                <c:pt idx="77">
                  <c:v>1.9230756257167914</c:v>
                </c:pt>
                <c:pt idx="78">
                  <c:v>1.9352560210483705</c:v>
                </c:pt>
                <c:pt idx="79">
                  <c:v>1.9474364163799498</c:v>
                </c:pt>
                <c:pt idx="80">
                  <c:v>1.9596168117115291</c:v>
                </c:pt>
                <c:pt idx="81">
                  <c:v>1.9717972070431085</c:v>
                </c:pt>
                <c:pt idx="82">
                  <c:v>1.9839776023746878</c:v>
                </c:pt>
                <c:pt idx="83">
                  <c:v>1.9961579977062671</c:v>
                </c:pt>
                <c:pt idx="84">
                  <c:v>2.0083383930378464</c:v>
                </c:pt>
                <c:pt idx="85">
                  <c:v>2.0205187883694258</c:v>
                </c:pt>
                <c:pt idx="86">
                  <c:v>2.0326991837010051</c:v>
                </c:pt>
                <c:pt idx="87">
                  <c:v>2.0448795790325844</c:v>
                </c:pt>
                <c:pt idx="88">
                  <c:v>2.0570599743641633</c:v>
                </c:pt>
                <c:pt idx="89">
                  <c:v>2.0592592592592593</c:v>
                </c:pt>
                <c:pt idx="90">
                  <c:v>2.0592592592592593</c:v>
                </c:pt>
                <c:pt idx="91">
                  <c:v>2.0592592592592593</c:v>
                </c:pt>
                <c:pt idx="92">
                  <c:v>2.0592592592592593</c:v>
                </c:pt>
                <c:pt idx="93">
                  <c:v>2.0592592592592593</c:v>
                </c:pt>
                <c:pt idx="94">
                  <c:v>2.0592592592592593</c:v>
                </c:pt>
                <c:pt idx="95">
                  <c:v>2.0592592592592593</c:v>
                </c:pt>
                <c:pt idx="96">
                  <c:v>2.0592592592592593</c:v>
                </c:pt>
                <c:pt idx="97">
                  <c:v>2.0592592592592593</c:v>
                </c:pt>
                <c:pt idx="98">
                  <c:v>2.0592592592592593</c:v>
                </c:pt>
                <c:pt idx="99">
                  <c:v>2.0592592592592593</c:v>
                </c:pt>
                <c:pt idx="100">
                  <c:v>2.0592592592592593</c:v>
                </c:pt>
              </c:numCache>
            </c:numRef>
          </c:val>
          <c:smooth val="0"/>
        </c:ser>
        <c:dLbls>
          <c:showLegendKey val="0"/>
          <c:showVal val="0"/>
          <c:showCatName val="0"/>
          <c:showSerName val="0"/>
          <c:showPercent val="0"/>
          <c:showBubbleSize val="0"/>
        </c:dLbls>
        <c:marker val="1"/>
        <c:smooth val="0"/>
        <c:axId val="139380992"/>
        <c:axId val="139383168"/>
      </c:lineChart>
      <c:catAx>
        <c:axId val="139380992"/>
        <c:scaling>
          <c:orientation val="minMax"/>
        </c:scaling>
        <c:delete val="0"/>
        <c:axPos val="b"/>
        <c:majorGridlines>
          <c:spPr>
            <a:ln w="15875">
              <a:solidFill>
                <a:srgbClr val="969696"/>
              </a:solidFill>
              <a:prstDash val="sysDash"/>
            </a:ln>
          </c:spPr>
        </c:majorGridlines>
        <c:title>
          <c:tx>
            <c:rich>
              <a:bodyPr/>
              <a:lstStyle/>
              <a:p>
                <a:pPr>
                  <a:defRPr sz="1200" b="1" i="0" u="none" strike="noStrike" baseline="0">
                    <a:solidFill>
                      <a:schemeClr val="tx1"/>
                    </a:solidFill>
                    <a:latin typeface="Arial" pitchFamily="34" charset="0"/>
                    <a:ea typeface="Calibri"/>
                    <a:cs typeface="Arial" pitchFamily="34" charset="0"/>
                  </a:defRPr>
                </a:pPr>
                <a:r>
                  <a:rPr lang="en-US" sz="1200">
                    <a:solidFill>
                      <a:schemeClr val="tx1"/>
                    </a:solidFill>
                    <a:latin typeface="Arial" pitchFamily="34" charset="0"/>
                    <a:cs typeface="Arial" pitchFamily="34" charset="0"/>
                  </a:rPr>
                  <a:t>Load Current (mA)</a:t>
                </a:r>
              </a:p>
            </c:rich>
          </c:tx>
          <c:layout>
            <c:manualLayout>
              <c:xMode val="edge"/>
              <c:yMode val="edge"/>
              <c:x val="0.45424135936496307"/>
              <c:y val="0.9410669161053864"/>
            </c:manualLayout>
          </c:layout>
          <c:overlay val="0"/>
          <c:spPr>
            <a:noFill/>
            <a:ln w="25400">
              <a:noFill/>
            </a:ln>
          </c:spPr>
        </c:title>
        <c:numFmt formatCode="0" sourceLinked="1"/>
        <c:majorTickMark val="in"/>
        <c:minorTickMark val="in"/>
        <c:tickLblPos val="nextTo"/>
        <c:spPr>
          <a:ln w="3175">
            <a:solidFill>
              <a:schemeClr val="tx1"/>
            </a:solidFill>
            <a:prstDash val="solid"/>
          </a:ln>
        </c:spPr>
        <c:txPr>
          <a:bodyPr rot="0" vert="horz"/>
          <a:lstStyle/>
          <a:p>
            <a:pPr>
              <a:defRPr sz="1100" b="1" i="0" u="none" strike="noStrike" baseline="0">
                <a:solidFill>
                  <a:schemeClr val="tx1"/>
                </a:solidFill>
                <a:latin typeface="Arial" pitchFamily="34" charset="0"/>
                <a:ea typeface="Calibri"/>
                <a:cs typeface="Arial" pitchFamily="34" charset="0"/>
              </a:defRPr>
            </a:pPr>
            <a:endParaRPr lang="ko-KR"/>
          </a:p>
        </c:txPr>
        <c:crossAx val="139383168"/>
        <c:crosses val="autoZero"/>
        <c:auto val="1"/>
        <c:lblAlgn val="ctr"/>
        <c:lblOffset val="100"/>
        <c:tickLblSkip val="20"/>
        <c:tickMarkSkip val="10"/>
        <c:noMultiLvlLbl val="0"/>
      </c:catAx>
      <c:valAx>
        <c:axId val="139383168"/>
        <c:scaling>
          <c:orientation val="minMax"/>
          <c:max val="2.2000000000000002"/>
          <c:min val="1"/>
        </c:scaling>
        <c:delete val="0"/>
        <c:axPos val="l"/>
        <c:majorGridlines>
          <c:spPr>
            <a:ln w="15875">
              <a:solidFill>
                <a:srgbClr val="808080"/>
              </a:solidFill>
              <a:prstDash val="solid"/>
            </a:ln>
          </c:spPr>
        </c:majorGridlines>
        <c:title>
          <c:tx>
            <c:rich>
              <a:bodyPr/>
              <a:lstStyle/>
              <a:p>
                <a:pPr>
                  <a:defRPr sz="1400" b="1" i="0" u="none" strike="noStrike" baseline="0">
                    <a:solidFill>
                      <a:schemeClr val="tx1"/>
                    </a:solidFill>
                    <a:latin typeface="Arial" pitchFamily="34" charset="0"/>
                    <a:ea typeface="Calibri"/>
                    <a:cs typeface="Arial" pitchFamily="34" charset="0"/>
                  </a:defRPr>
                </a:pPr>
                <a:r>
                  <a:rPr lang="en-US" sz="1200" b="1">
                    <a:solidFill>
                      <a:schemeClr val="tx1"/>
                    </a:solidFill>
                    <a:latin typeface="Arial" pitchFamily="34" charset="0"/>
                    <a:cs typeface="Arial" pitchFamily="34" charset="0"/>
                  </a:rPr>
                  <a:t>COMP</a:t>
                </a:r>
                <a:r>
                  <a:rPr lang="en-US" sz="1200" b="1" baseline="0">
                    <a:solidFill>
                      <a:schemeClr val="tx1"/>
                    </a:solidFill>
                    <a:latin typeface="Arial" pitchFamily="34" charset="0"/>
                    <a:cs typeface="Arial" pitchFamily="34" charset="0"/>
                  </a:rPr>
                  <a:t> Voltage (V)</a:t>
                </a:r>
                <a:endParaRPr lang="en-US" sz="1200" b="1">
                  <a:solidFill>
                    <a:schemeClr val="tx1"/>
                  </a:solidFill>
                  <a:latin typeface="Arial" pitchFamily="34" charset="0"/>
                  <a:cs typeface="Arial" pitchFamily="34" charset="0"/>
                </a:endParaRPr>
              </a:p>
            </c:rich>
          </c:tx>
          <c:layout>
            <c:manualLayout>
              <c:xMode val="edge"/>
              <c:yMode val="edge"/>
              <c:x val="1.5939635452545176E-2"/>
              <c:y val="0.34603169988013316"/>
            </c:manualLayout>
          </c:layout>
          <c:overlay val="0"/>
          <c:spPr>
            <a:noFill/>
            <a:ln w="25400">
              <a:noFill/>
            </a:ln>
          </c:spPr>
        </c:title>
        <c:numFmt formatCode="#,##0.0" sourceLinked="0"/>
        <c:majorTickMark val="out"/>
        <c:minorTickMark val="in"/>
        <c:tickLblPos val="nextTo"/>
        <c:spPr>
          <a:ln w="3175">
            <a:solidFill>
              <a:srgbClr val="000000"/>
            </a:solidFill>
            <a:prstDash val="solid"/>
          </a:ln>
        </c:spPr>
        <c:txPr>
          <a:bodyPr rot="0" vert="horz"/>
          <a:lstStyle/>
          <a:p>
            <a:pPr>
              <a:defRPr sz="1100" b="1" i="0" u="none" strike="noStrike" baseline="0">
                <a:solidFill>
                  <a:schemeClr val="tx1"/>
                </a:solidFill>
                <a:latin typeface="Arial" pitchFamily="34" charset="0"/>
                <a:ea typeface="Calibri"/>
                <a:cs typeface="Arial" pitchFamily="34" charset="0"/>
              </a:defRPr>
            </a:pPr>
            <a:endParaRPr lang="ko-KR"/>
          </a:p>
        </c:txPr>
        <c:crossAx val="139380992"/>
        <c:crossesAt val="0"/>
        <c:crossBetween val="between"/>
        <c:majorUnit val="0.2"/>
        <c:minorUnit val="0.1"/>
      </c:valAx>
      <c:spPr>
        <a:solidFill>
          <a:srgbClr val="FFFFFF"/>
        </a:solidFill>
        <a:ln w="25400">
          <a:noFill/>
        </a:ln>
      </c:spPr>
    </c:plotArea>
    <c:legend>
      <c:legendPos val="t"/>
      <c:layout>
        <c:manualLayout>
          <c:xMode val="edge"/>
          <c:yMode val="edge"/>
          <c:x val="0.50279342989103104"/>
          <c:y val="1.6951025877806759E-2"/>
          <c:w val="0.44417947756530435"/>
          <c:h val="8.9795049320617604E-2"/>
        </c:manualLayout>
      </c:layout>
      <c:overlay val="0"/>
      <c:spPr>
        <a:solidFill>
          <a:srgbClr val="FFFFFF"/>
        </a:solidFill>
        <a:ln w="25400">
          <a:noFill/>
        </a:ln>
      </c:spPr>
      <c:txPr>
        <a:bodyPr/>
        <a:lstStyle/>
        <a:p>
          <a:pPr>
            <a:defRPr sz="1400" b="0" i="0" u="none" strike="noStrike" baseline="0">
              <a:solidFill>
                <a:srgbClr val="000000"/>
              </a:solidFill>
              <a:latin typeface="Arial" pitchFamily="34" charset="0"/>
              <a:ea typeface="Calibri"/>
              <a:cs typeface="Arial" pitchFamily="34" charset="0"/>
            </a:defRPr>
          </a:pPr>
          <a:endParaRPr lang="ko-KR"/>
        </a:p>
      </c:txPr>
    </c:legend>
    <c:plotVisOnly val="1"/>
    <c:dispBlanksAs val="gap"/>
    <c:showDLblsOverMax val="0"/>
  </c:chart>
  <c:spPr>
    <a:solidFill>
      <a:srgbClr val="FFFFFF"/>
    </a:solidFill>
    <a:ln w="9525">
      <a:solidFill>
        <a:srgbClr val="808080"/>
      </a:solidFill>
    </a:ln>
  </c:spPr>
  <c:txPr>
    <a:bodyPr/>
    <a:lstStyle/>
    <a:p>
      <a:pPr>
        <a:defRPr sz="850" b="0" i="0" u="none" strike="noStrike" baseline="0">
          <a:solidFill>
            <a:srgbClr val="000000"/>
          </a:solidFill>
          <a:latin typeface="Arial"/>
          <a:ea typeface="Arial"/>
          <a:cs typeface="Arial"/>
        </a:defRPr>
      </a:pPr>
      <a:endParaRPr lang="ko-KR"/>
    </a:p>
  </c:txPr>
  <c:printSettings>
    <c:headerFooter alignWithMargins="0"/>
    <c:pageMargins b="1" l="0.750000000000006" r="0.750000000000006" t="1" header="0.5" footer="0.5"/>
    <c:pageSetup paperSize="5"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ko-K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rgbClr val="000000"/>
                </a:solidFill>
                <a:latin typeface="Arial" pitchFamily="34" charset="0"/>
                <a:ea typeface="Calibri"/>
                <a:cs typeface="Arial" pitchFamily="34" charset="0"/>
              </a:defRPr>
            </a:pPr>
            <a:r>
              <a:rPr lang="en-US" sz="1800" b="1" i="0" baseline="0">
                <a:effectLst/>
                <a:sym typeface="Symbol"/>
              </a:rPr>
              <a:t></a:t>
            </a:r>
            <a:r>
              <a:rPr lang="en-US" sz="1800" b="1" i="0" baseline="0">
                <a:effectLst/>
              </a:rPr>
              <a:t>, V</a:t>
            </a:r>
            <a:r>
              <a:rPr lang="en-US" sz="1800" b="1" i="0" baseline="-25000">
                <a:effectLst/>
              </a:rPr>
              <a:t>IN</a:t>
            </a:r>
            <a:r>
              <a:rPr lang="en-US" sz="1800" b="1" i="0" baseline="0">
                <a:effectLst/>
              </a:rPr>
              <a:t> = V</a:t>
            </a:r>
            <a:r>
              <a:rPr lang="en-US" sz="1800" b="1" i="0" baseline="-25000">
                <a:effectLst/>
              </a:rPr>
              <a:t>IN(nom)</a:t>
            </a:r>
            <a:endParaRPr lang="en-US">
              <a:effectLst/>
            </a:endParaRPr>
          </a:p>
        </c:rich>
      </c:tx>
      <c:layout>
        <c:manualLayout>
          <c:xMode val="edge"/>
          <c:yMode val="edge"/>
          <c:x val="8.2586704916618195E-2"/>
          <c:y val="1.8363289746112718E-2"/>
        </c:manualLayout>
      </c:layout>
      <c:overlay val="0"/>
      <c:spPr>
        <a:noFill/>
        <a:ln w="25400">
          <a:noFill/>
        </a:ln>
      </c:spPr>
    </c:title>
    <c:autoTitleDeleted val="0"/>
    <c:plotArea>
      <c:layout>
        <c:manualLayout>
          <c:layoutTarget val="inner"/>
          <c:xMode val="edge"/>
          <c:yMode val="edge"/>
          <c:x val="7.6761884085804283E-2"/>
          <c:y val="0.12133523343001466"/>
          <c:w val="0.82579990228506128"/>
          <c:h val="0.7558980268938309"/>
        </c:manualLayout>
      </c:layout>
      <c:lineChart>
        <c:grouping val="standard"/>
        <c:varyColors val="0"/>
        <c:ser>
          <c:idx val="0"/>
          <c:order val="0"/>
          <c:tx>
            <c:v>Efficiency</c:v>
          </c:tx>
          <c:spPr>
            <a:ln w="38100">
              <a:solidFill>
                <a:srgbClr val="FF0000"/>
              </a:solidFill>
              <a:prstDash val="solid"/>
            </a:ln>
          </c:spPr>
          <c:marker>
            <c:symbol val="none"/>
          </c:marker>
          <c:cat>
            <c:numRef>
              <c:f>'Calculations - Dual'!$BZ$5:$BZ$105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11.000000000000002</c:v>
                </c:pt>
                <c:pt idx="12">
                  <c:v>12</c:v>
                </c:pt>
                <c:pt idx="13">
                  <c:v>13</c:v>
                </c:pt>
                <c:pt idx="14">
                  <c:v>14.000000000000002</c:v>
                </c:pt>
                <c:pt idx="15">
                  <c:v>15</c:v>
                </c:pt>
                <c:pt idx="16">
                  <c:v>16</c:v>
                </c:pt>
                <c:pt idx="17">
                  <c:v>17</c:v>
                </c:pt>
                <c:pt idx="18">
                  <c:v>18</c:v>
                </c:pt>
                <c:pt idx="19">
                  <c:v>19</c:v>
                </c:pt>
                <c:pt idx="20">
                  <c:v>20</c:v>
                </c:pt>
                <c:pt idx="21">
                  <c:v>21.000000000000004</c:v>
                </c:pt>
                <c:pt idx="22">
                  <c:v>22.000000000000004</c:v>
                </c:pt>
                <c:pt idx="23">
                  <c:v>23.000000000000004</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42.000000000000007</c:v>
                </c:pt>
                <c:pt idx="43">
                  <c:v>43.000000000000007</c:v>
                </c:pt>
                <c:pt idx="44">
                  <c:v>44.000000000000007</c:v>
                </c:pt>
                <c:pt idx="45">
                  <c:v>45.000000000000007</c:v>
                </c:pt>
                <c:pt idx="46">
                  <c:v>46.000000000000007</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84.000000000000014</c:v>
                </c:pt>
                <c:pt idx="85">
                  <c:v>85.000000000000014</c:v>
                </c:pt>
                <c:pt idx="86">
                  <c:v>86.000000000000014</c:v>
                </c:pt>
                <c:pt idx="87">
                  <c:v>87.000000000000014</c:v>
                </c:pt>
                <c:pt idx="88">
                  <c:v>88.000000000000014</c:v>
                </c:pt>
                <c:pt idx="89">
                  <c:v>89.000000000000014</c:v>
                </c:pt>
                <c:pt idx="90">
                  <c:v>90.000000000000014</c:v>
                </c:pt>
                <c:pt idx="91">
                  <c:v>91.000000000000014</c:v>
                </c:pt>
                <c:pt idx="92">
                  <c:v>92.000000000000014</c:v>
                </c:pt>
                <c:pt idx="93">
                  <c:v>93.000000000000014</c:v>
                </c:pt>
                <c:pt idx="94">
                  <c:v>94</c:v>
                </c:pt>
                <c:pt idx="95">
                  <c:v>95</c:v>
                </c:pt>
                <c:pt idx="96">
                  <c:v>96</c:v>
                </c:pt>
                <c:pt idx="97">
                  <c:v>97</c:v>
                </c:pt>
                <c:pt idx="98">
                  <c:v>98</c:v>
                </c:pt>
                <c:pt idx="99">
                  <c:v>99</c:v>
                </c:pt>
                <c:pt idx="100">
                  <c:v>100</c:v>
                </c:pt>
              </c:numCache>
            </c:numRef>
          </c:cat>
          <c:val>
            <c:numRef>
              <c:f>'Calculations - Dual'!$BY$5:$BY$105</c:f>
              <c:numCache>
                <c:formatCode>0.00</c:formatCode>
                <c:ptCount val="101"/>
                <c:pt idx="0">
                  <c:v>2.7948906706872271E-4</c:v>
                </c:pt>
                <c:pt idx="1">
                  <c:v>82.845983106727772</c:v>
                </c:pt>
                <c:pt idx="2">
                  <c:v>85.888215458624671</c:v>
                </c:pt>
                <c:pt idx="3">
                  <c:v>86.935729293932013</c:v>
                </c:pt>
                <c:pt idx="4">
                  <c:v>87.453435056123624</c:v>
                </c:pt>
                <c:pt idx="5">
                  <c:v>87.752419107844943</c:v>
                </c:pt>
                <c:pt idx="6">
                  <c:v>87.939204033497788</c:v>
                </c:pt>
                <c:pt idx="7">
                  <c:v>88.060229633114417</c:v>
                </c:pt>
                <c:pt idx="8">
                  <c:v>88.139021305995328</c:v>
                </c:pt>
                <c:pt idx="9">
                  <c:v>87.922088736440656</c:v>
                </c:pt>
                <c:pt idx="10">
                  <c:v>87.384365821787426</c:v>
                </c:pt>
                <c:pt idx="11">
                  <c:v>86.832139591280139</c:v>
                </c:pt>
                <c:pt idx="12">
                  <c:v>86.26593250214033</c:v>
                </c:pt>
                <c:pt idx="13">
                  <c:v>85.793163541064445</c:v>
                </c:pt>
                <c:pt idx="14">
                  <c:v>86.001217352591468</c:v>
                </c:pt>
                <c:pt idx="15">
                  <c:v>86.183055818484704</c:v>
                </c:pt>
                <c:pt idx="16">
                  <c:v>86.343259177018723</c:v>
                </c:pt>
                <c:pt idx="17">
                  <c:v>86.485390260865699</c:v>
                </c:pt>
                <c:pt idx="18">
                  <c:v>86.612263876000853</c:v>
                </c:pt>
                <c:pt idx="19">
                  <c:v>86.726134541858528</c:v>
                </c:pt>
                <c:pt idx="20">
                  <c:v>86.828830153043384</c:v>
                </c:pt>
                <c:pt idx="21">
                  <c:v>86.921848956917671</c:v>
                </c:pt>
                <c:pt idx="22">
                  <c:v>87.446050493545627</c:v>
                </c:pt>
                <c:pt idx="23">
                  <c:v>87.923169682606101</c:v>
                </c:pt>
                <c:pt idx="24">
                  <c:v>88.355831008170213</c:v>
                </c:pt>
                <c:pt idx="25">
                  <c:v>88.749729267829636</c:v>
                </c:pt>
                <c:pt idx="26">
                  <c:v>89.109654138131006</c:v>
                </c:pt>
                <c:pt idx="27">
                  <c:v>89.439659079861073</c:v>
                </c:pt>
                <c:pt idx="28">
                  <c:v>89.743194498029226</c:v>
                </c:pt>
                <c:pt idx="29">
                  <c:v>90.023213532936168</c:v>
                </c:pt>
                <c:pt idx="30">
                  <c:v>90.282256723021021</c:v>
                </c:pt>
                <c:pt idx="31">
                  <c:v>90.522520228992789</c:v>
                </c:pt>
                <c:pt idx="32">
                  <c:v>90.745911172217873</c:v>
                </c:pt>
                <c:pt idx="33">
                  <c:v>90.954092800529736</c:v>
                </c:pt>
                <c:pt idx="34">
                  <c:v>91.14852156898759</c:v>
                </c:pt>
                <c:pt idx="35">
                  <c:v>91.330477753341015</c:v>
                </c:pt>
                <c:pt idx="36">
                  <c:v>87.586518805042871</c:v>
                </c:pt>
                <c:pt idx="37">
                  <c:v>87.616144572518124</c:v>
                </c:pt>
                <c:pt idx="38">
                  <c:v>87.641373298606268</c:v>
                </c:pt>
                <c:pt idx="39">
                  <c:v>87.662572519921497</c:v>
                </c:pt>
                <c:pt idx="40">
                  <c:v>87.680070712279075</c:v>
                </c:pt>
                <c:pt idx="41">
                  <c:v>87.69416230614587</c:v>
                </c:pt>
                <c:pt idx="42">
                  <c:v>87.70511195344659</c:v>
                </c:pt>
                <c:pt idx="43">
                  <c:v>87.713158172243155</c:v>
                </c:pt>
                <c:pt idx="44">
                  <c:v>87.718516472058212</c:v>
                </c:pt>
                <c:pt idx="45">
                  <c:v>87.721382043745592</c:v>
                </c:pt>
                <c:pt idx="46">
                  <c:v>87.721932082736586</c:v>
                </c:pt>
                <c:pt idx="47">
                  <c:v>87.72032780238554</c:v>
                </c:pt>
                <c:pt idx="48">
                  <c:v>87.716716184367044</c:v>
                </c:pt>
                <c:pt idx="49">
                  <c:v>87.711231505152767</c:v>
                </c:pt>
                <c:pt idx="50">
                  <c:v>87.703996671139535</c:v>
                </c:pt>
                <c:pt idx="51">
                  <c:v>87.695124389717265</c:v>
                </c:pt>
                <c:pt idx="52">
                  <c:v>87.684718199223113</c:v>
                </c:pt>
                <c:pt idx="53">
                  <c:v>87.672873377146615</c:v>
                </c:pt>
                <c:pt idx="54">
                  <c:v>87.659677742982524</c:v>
                </c:pt>
                <c:pt idx="55">
                  <c:v>87.64521236966138</c:v>
                </c:pt>
                <c:pt idx="56">
                  <c:v>87.629552215429257</c:v>
                </c:pt>
                <c:pt idx="57">
                  <c:v>87.612766686324576</c:v>
                </c:pt>
                <c:pt idx="58">
                  <c:v>87.594920137951945</c:v>
                </c:pt>
                <c:pt idx="59">
                  <c:v>87.576072324032523</c:v>
                </c:pt>
                <c:pt idx="60">
                  <c:v>87.556278798179122</c:v>
                </c:pt>
                <c:pt idx="61">
                  <c:v>87.535591274469084</c:v>
                </c:pt>
                <c:pt idx="62">
                  <c:v>87.514057951644844</c:v>
                </c:pt>
                <c:pt idx="63">
                  <c:v>87.491723805136672</c:v>
                </c:pt>
                <c:pt idx="64">
                  <c:v>87.573300608051426</c:v>
                </c:pt>
                <c:pt idx="65">
                  <c:v>87.757634054148056</c:v>
                </c:pt>
                <c:pt idx="66">
                  <c:v>87.936348645497404</c:v>
                </c:pt>
                <c:pt idx="67">
                  <c:v>88.109675536601401</c:v>
                </c:pt>
                <c:pt idx="68">
                  <c:v>88.27783394072928</c:v>
                </c:pt>
                <c:pt idx="69">
                  <c:v>88.441031871154308</c:v>
                </c:pt>
                <c:pt idx="70">
                  <c:v>88.599466828739509</c:v>
                </c:pt>
                <c:pt idx="71">
                  <c:v>88.753326440302033</c:v>
                </c:pt>
                <c:pt idx="72">
                  <c:v>88.902789051776026</c:v>
                </c:pt>
                <c:pt idx="73">
                  <c:v>89.048024279825157</c:v>
                </c:pt>
                <c:pt idx="74">
                  <c:v>89.189193525225136</c:v>
                </c:pt>
                <c:pt idx="75">
                  <c:v>89.326450451039207</c:v>
                </c:pt>
                <c:pt idx="76">
                  <c:v>89.370737608462576</c:v>
                </c:pt>
                <c:pt idx="77">
                  <c:v>89.378107812846096</c:v>
                </c:pt>
                <c:pt idx="78">
                  <c:v>89.38493751433964</c:v>
                </c:pt>
                <c:pt idx="79">
                  <c:v>89.39123754576687</c:v>
                </c:pt>
                <c:pt idx="80">
                  <c:v>89.397018464171367</c:v>
                </c:pt>
                <c:pt idx="81">
                  <c:v>89.402290559533057</c:v>
                </c:pt>
                <c:pt idx="82">
                  <c:v>89.407063863156097</c:v>
                </c:pt>
                <c:pt idx="83">
                  <c:v>89.411348155742118</c:v>
                </c:pt>
                <c:pt idx="84">
                  <c:v>89.415152975163011</c:v>
                </c:pt>
                <c:pt idx="85">
                  <c:v>89.418487623945751</c:v>
                </c:pt>
                <c:pt idx="86">
                  <c:v>89.421361176482009</c:v>
                </c:pt>
                <c:pt idx="87">
                  <c:v>89.423782485973931</c:v>
                </c:pt>
                <c:pt idx="88">
                  <c:v>89.425760191127708</c:v>
                </c:pt>
                <c:pt idx="89">
                  <c:v>89.427302722605035</c:v>
                </c:pt>
                <c:pt idx="90">
                  <c:v>89.428418309243199</c:v>
                </c:pt>
                <c:pt idx="91">
                  <c:v>89.429114984052802</c:v>
                </c:pt>
                <c:pt idx="92">
                  <c:v>89.429400590002913</c:v>
                </c:pt>
                <c:pt idx="93">
                  <c:v>89.429282785602055</c:v>
                </c:pt>
                <c:pt idx="94">
                  <c:v>89.428769050283265</c:v>
                </c:pt>
                <c:pt idx="95">
                  <c:v>89.427866689601814</c:v>
                </c:pt>
                <c:pt idx="96">
                  <c:v>89.426582840252294</c:v>
                </c:pt>
                <c:pt idx="97">
                  <c:v>89.424924474913155</c:v>
                </c:pt>
                <c:pt idx="98">
                  <c:v>89.422898406924972</c:v>
                </c:pt>
                <c:pt idx="99">
                  <c:v>89.42051129480943</c:v>
                </c:pt>
                <c:pt idx="100">
                  <c:v>89.41776964663525</c:v>
                </c:pt>
              </c:numCache>
            </c:numRef>
          </c:val>
          <c:smooth val="0"/>
        </c:ser>
        <c:dLbls>
          <c:showLegendKey val="0"/>
          <c:showVal val="0"/>
          <c:showCatName val="0"/>
          <c:showSerName val="0"/>
          <c:showPercent val="0"/>
          <c:showBubbleSize val="0"/>
        </c:dLbls>
        <c:marker val="1"/>
        <c:smooth val="0"/>
        <c:axId val="139300864"/>
        <c:axId val="139302784"/>
      </c:lineChart>
      <c:lineChart>
        <c:grouping val="standard"/>
        <c:varyColors val="0"/>
        <c:ser>
          <c:idx val="2"/>
          <c:order val="1"/>
          <c:tx>
            <c:strRef>
              <c:f>'Calculations - Dual'!$BK$3</c:f>
              <c:strCache>
                <c:ptCount val="1"/>
                <c:pt idx="0">
                  <c:v>Flyback Diode Loss</c:v>
                </c:pt>
              </c:strCache>
            </c:strRef>
          </c:tx>
          <c:spPr>
            <a:ln w="38100">
              <a:solidFill>
                <a:srgbClr val="808000"/>
              </a:solidFill>
              <a:prstDash val="sysDash"/>
            </a:ln>
          </c:spPr>
          <c:marker>
            <c:symbol val="none"/>
          </c:marker>
          <c:cat>
            <c:numLit>
              <c:formatCode>General</c:formatCode>
              <c:ptCount val="201"/>
              <c:pt idx="0">
                <c:v>0</c:v>
              </c:pt>
              <c:pt idx="1">
                <c:v>2.5000000000000001E-2</c:v>
              </c:pt>
              <c:pt idx="2">
                <c:v>0.05</c:v>
              </c:pt>
              <c:pt idx="3">
                <c:v>7.4999999999999997E-2</c:v>
              </c:pt>
              <c:pt idx="4">
                <c:v>0.1</c:v>
              </c:pt>
              <c:pt idx="5">
                <c:v>0.125</c:v>
              </c:pt>
              <c:pt idx="6">
                <c:v>0.15</c:v>
              </c:pt>
              <c:pt idx="7">
                <c:v>0.17500000000000002</c:v>
              </c:pt>
              <c:pt idx="8">
                <c:v>0.2</c:v>
              </c:pt>
              <c:pt idx="9">
                <c:v>0.22499999999999998</c:v>
              </c:pt>
              <c:pt idx="10">
                <c:v>0.25</c:v>
              </c:pt>
              <c:pt idx="11">
                <c:v>0.27500000000000002</c:v>
              </c:pt>
              <c:pt idx="12">
                <c:v>0.3</c:v>
              </c:pt>
              <c:pt idx="13">
                <c:v>0.32500000000000001</c:v>
              </c:pt>
              <c:pt idx="14">
                <c:v>0.35000000000000003</c:v>
              </c:pt>
              <c:pt idx="15">
                <c:v>0.375</c:v>
              </c:pt>
              <c:pt idx="16">
                <c:v>0.4</c:v>
              </c:pt>
              <c:pt idx="17">
                <c:v>0.42500000000000004</c:v>
              </c:pt>
              <c:pt idx="18">
                <c:v>0.44999999999999996</c:v>
              </c:pt>
              <c:pt idx="19">
                <c:v>0.47499999999999998</c:v>
              </c:pt>
              <c:pt idx="20">
                <c:v>0.5</c:v>
              </c:pt>
              <c:pt idx="21">
                <c:v>0.52500000000000002</c:v>
              </c:pt>
              <c:pt idx="22">
                <c:v>0.55000000000000004</c:v>
              </c:pt>
              <c:pt idx="23">
                <c:v>0.57500000000000007</c:v>
              </c:pt>
              <c:pt idx="24">
                <c:v>0.6</c:v>
              </c:pt>
              <c:pt idx="25">
                <c:v>0.625</c:v>
              </c:pt>
              <c:pt idx="26">
                <c:v>0.65</c:v>
              </c:pt>
              <c:pt idx="27">
                <c:v>0.67500000000000004</c:v>
              </c:pt>
              <c:pt idx="28">
                <c:v>0.70000000000000007</c:v>
              </c:pt>
              <c:pt idx="29">
                <c:v>0.72499999999999998</c:v>
              </c:pt>
              <c:pt idx="30">
                <c:v>0.75</c:v>
              </c:pt>
              <c:pt idx="31">
                <c:v>0.77500000000000002</c:v>
              </c:pt>
              <c:pt idx="32">
                <c:v>0.8</c:v>
              </c:pt>
              <c:pt idx="33">
                <c:v>0.82500000000000007</c:v>
              </c:pt>
              <c:pt idx="34">
                <c:v>0.85000000000000009</c:v>
              </c:pt>
              <c:pt idx="35">
                <c:v>0.875</c:v>
              </c:pt>
              <c:pt idx="36">
                <c:v>0.89999999999999991</c:v>
              </c:pt>
              <c:pt idx="37">
                <c:v>0.92500000000000004</c:v>
              </c:pt>
              <c:pt idx="38">
                <c:v>0.95</c:v>
              </c:pt>
              <c:pt idx="39">
                <c:v>0.97500000000000009</c:v>
              </c:pt>
              <c:pt idx="40">
                <c:v>1</c:v>
              </c:pt>
              <c:pt idx="41">
                <c:v>1.0249999999999999</c:v>
              </c:pt>
              <c:pt idx="42">
                <c:v>1.05</c:v>
              </c:pt>
              <c:pt idx="43">
                <c:v>1.075</c:v>
              </c:pt>
              <c:pt idx="44">
                <c:v>1.1000000000000001</c:v>
              </c:pt>
              <c:pt idx="45">
                <c:v>1.125</c:v>
              </c:pt>
              <c:pt idx="46">
                <c:v>1.1500000000000001</c:v>
              </c:pt>
              <c:pt idx="47">
                <c:v>1.1749999999999998</c:v>
              </c:pt>
              <c:pt idx="48">
                <c:v>1.2</c:v>
              </c:pt>
              <c:pt idx="49">
                <c:v>1.2250000000000001</c:v>
              </c:pt>
              <c:pt idx="50">
                <c:v>1.25</c:v>
              </c:pt>
              <c:pt idx="51">
                <c:v>1.2749999999999999</c:v>
              </c:pt>
              <c:pt idx="52">
                <c:v>1.3</c:v>
              </c:pt>
              <c:pt idx="53">
                <c:v>1.3250000000000002</c:v>
              </c:pt>
              <c:pt idx="54">
                <c:v>1.35</c:v>
              </c:pt>
              <c:pt idx="55">
                <c:v>1.375</c:v>
              </c:pt>
              <c:pt idx="56">
                <c:v>1.4000000000000001</c:v>
              </c:pt>
              <c:pt idx="57">
                <c:v>1.4249999999999998</c:v>
              </c:pt>
              <c:pt idx="58">
                <c:v>1.45</c:v>
              </c:pt>
              <c:pt idx="59">
                <c:v>1.4749999999999999</c:v>
              </c:pt>
              <c:pt idx="60">
                <c:v>1.5</c:v>
              </c:pt>
              <c:pt idx="61">
                <c:v>1.5249999999999999</c:v>
              </c:pt>
              <c:pt idx="62">
                <c:v>1.55</c:v>
              </c:pt>
              <c:pt idx="63">
                <c:v>1.575</c:v>
              </c:pt>
              <c:pt idx="64">
                <c:v>1.6</c:v>
              </c:pt>
              <c:pt idx="65">
                <c:v>1.625</c:v>
              </c:pt>
              <c:pt idx="66">
                <c:v>1.6500000000000001</c:v>
              </c:pt>
              <c:pt idx="67">
                <c:v>1.675</c:v>
              </c:pt>
              <c:pt idx="68">
                <c:v>1.7000000000000002</c:v>
              </c:pt>
              <c:pt idx="69">
                <c:v>1.7249999999999999</c:v>
              </c:pt>
              <c:pt idx="70">
                <c:v>1.75</c:v>
              </c:pt>
              <c:pt idx="71">
                <c:v>1.7749999999999999</c:v>
              </c:pt>
              <c:pt idx="72">
                <c:v>1.7999999999999998</c:v>
              </c:pt>
              <c:pt idx="73">
                <c:v>1.825</c:v>
              </c:pt>
              <c:pt idx="74">
                <c:v>1.85</c:v>
              </c:pt>
              <c:pt idx="75">
                <c:v>1.875</c:v>
              </c:pt>
              <c:pt idx="76">
                <c:v>1.9</c:v>
              </c:pt>
              <c:pt idx="77">
                <c:v>1.925</c:v>
              </c:pt>
              <c:pt idx="78">
                <c:v>1.9500000000000002</c:v>
              </c:pt>
              <c:pt idx="79">
                <c:v>1.9750000000000001</c:v>
              </c:pt>
              <c:pt idx="80">
                <c:v>2</c:v>
              </c:pt>
              <c:pt idx="81">
                <c:v>2.0250000000000004</c:v>
              </c:pt>
              <c:pt idx="82">
                <c:v>2.0499999999999998</c:v>
              </c:pt>
              <c:pt idx="83">
                <c:v>2.0749999999999997</c:v>
              </c:pt>
              <c:pt idx="84">
                <c:v>2.1</c:v>
              </c:pt>
              <c:pt idx="85">
                <c:v>2.125</c:v>
              </c:pt>
              <c:pt idx="86">
                <c:v>2.15</c:v>
              </c:pt>
              <c:pt idx="87">
                <c:v>2.1749999999999998</c:v>
              </c:pt>
              <c:pt idx="88">
                <c:v>2.2000000000000002</c:v>
              </c:pt>
              <c:pt idx="89">
                <c:v>2.2250000000000001</c:v>
              </c:pt>
              <c:pt idx="90">
                <c:v>2.25</c:v>
              </c:pt>
              <c:pt idx="91">
                <c:v>2.2749999999999999</c:v>
              </c:pt>
              <c:pt idx="92">
                <c:v>2.3000000000000003</c:v>
              </c:pt>
              <c:pt idx="93">
                <c:v>2.3250000000000002</c:v>
              </c:pt>
              <c:pt idx="94">
                <c:v>2.3499999999999996</c:v>
              </c:pt>
              <c:pt idx="95">
                <c:v>2.375</c:v>
              </c:pt>
              <c:pt idx="96">
                <c:v>2.4</c:v>
              </c:pt>
              <c:pt idx="97">
                <c:v>2.4249999999999998</c:v>
              </c:pt>
              <c:pt idx="98">
                <c:v>2.4500000000000002</c:v>
              </c:pt>
              <c:pt idx="99">
                <c:v>2.4750000000000001</c:v>
              </c:pt>
              <c:pt idx="100">
                <c:v>2.5</c:v>
              </c:pt>
              <c:pt idx="101">
                <c:v>2.5249999999999999</c:v>
              </c:pt>
              <c:pt idx="102">
                <c:v>2.5499999999999998</c:v>
              </c:pt>
              <c:pt idx="103">
                <c:v>2.5750000000000002</c:v>
              </c:pt>
              <c:pt idx="104">
                <c:v>2.6</c:v>
              </c:pt>
              <c:pt idx="105">
                <c:v>2.625</c:v>
              </c:pt>
              <c:pt idx="106">
                <c:v>2.6500000000000004</c:v>
              </c:pt>
              <c:pt idx="107">
                <c:v>2.6750000000000003</c:v>
              </c:pt>
              <c:pt idx="108">
                <c:v>2.7</c:v>
              </c:pt>
              <c:pt idx="109">
                <c:v>2.7250000000000001</c:v>
              </c:pt>
              <c:pt idx="110">
                <c:v>2.75</c:v>
              </c:pt>
              <c:pt idx="111">
                <c:v>2.7750000000000004</c:v>
              </c:pt>
              <c:pt idx="112">
                <c:v>2.8000000000000003</c:v>
              </c:pt>
              <c:pt idx="113">
                <c:v>2.8249999999999997</c:v>
              </c:pt>
              <c:pt idx="114">
                <c:v>2.8499999999999996</c:v>
              </c:pt>
              <c:pt idx="115">
                <c:v>2.875</c:v>
              </c:pt>
              <c:pt idx="116">
                <c:v>2.9</c:v>
              </c:pt>
              <c:pt idx="117">
                <c:v>2.9249999999999998</c:v>
              </c:pt>
              <c:pt idx="118">
                <c:v>2.9499999999999997</c:v>
              </c:pt>
              <c:pt idx="119">
                <c:v>2.9749999999999996</c:v>
              </c:pt>
              <c:pt idx="120">
                <c:v>3</c:v>
              </c:pt>
              <c:pt idx="121">
                <c:v>3.0249999999999999</c:v>
              </c:pt>
              <c:pt idx="122">
                <c:v>3.05</c:v>
              </c:pt>
              <c:pt idx="123">
                <c:v>3.0750000000000002</c:v>
              </c:pt>
              <c:pt idx="124">
                <c:v>3.1</c:v>
              </c:pt>
              <c:pt idx="125">
                <c:v>3.125</c:v>
              </c:pt>
              <c:pt idx="126">
                <c:v>3.15</c:v>
              </c:pt>
              <c:pt idx="127">
                <c:v>3.1749999999999998</c:v>
              </c:pt>
              <c:pt idx="128">
                <c:v>3.2</c:v>
              </c:pt>
              <c:pt idx="129">
                <c:v>3.2250000000000001</c:v>
              </c:pt>
              <c:pt idx="130">
                <c:v>3.25</c:v>
              </c:pt>
              <c:pt idx="131">
                <c:v>3.2750000000000004</c:v>
              </c:pt>
              <c:pt idx="132">
                <c:v>3.3000000000000003</c:v>
              </c:pt>
              <c:pt idx="133">
                <c:v>3.3250000000000002</c:v>
              </c:pt>
              <c:pt idx="134">
                <c:v>3.35</c:v>
              </c:pt>
              <c:pt idx="135">
                <c:v>3.375</c:v>
              </c:pt>
              <c:pt idx="136">
                <c:v>3.4000000000000004</c:v>
              </c:pt>
              <c:pt idx="137">
                <c:v>3.4250000000000003</c:v>
              </c:pt>
              <c:pt idx="138">
                <c:v>3.4499999999999997</c:v>
              </c:pt>
              <c:pt idx="139">
                <c:v>3.4749999999999996</c:v>
              </c:pt>
              <c:pt idx="140">
                <c:v>3.5</c:v>
              </c:pt>
              <c:pt idx="141">
                <c:v>3.5249999999999999</c:v>
              </c:pt>
              <c:pt idx="142">
                <c:v>3.55</c:v>
              </c:pt>
              <c:pt idx="143">
                <c:v>3.5749999999999997</c:v>
              </c:pt>
              <c:pt idx="144">
                <c:v>3.5999999999999996</c:v>
              </c:pt>
              <c:pt idx="145">
                <c:v>3.625</c:v>
              </c:pt>
              <c:pt idx="146">
                <c:v>3.65</c:v>
              </c:pt>
              <c:pt idx="147">
                <c:v>3.6749999999999998</c:v>
              </c:pt>
              <c:pt idx="148">
                <c:v>3.7</c:v>
              </c:pt>
              <c:pt idx="149">
                <c:v>3.7250000000000001</c:v>
              </c:pt>
              <c:pt idx="150">
                <c:v>3.75</c:v>
              </c:pt>
              <c:pt idx="151">
                <c:v>3.7749999999999999</c:v>
              </c:pt>
              <c:pt idx="152">
                <c:v>3.8</c:v>
              </c:pt>
              <c:pt idx="153">
                <c:v>3.8250000000000002</c:v>
              </c:pt>
              <c:pt idx="154">
                <c:v>3.85</c:v>
              </c:pt>
              <c:pt idx="155">
                <c:v>3.875</c:v>
              </c:pt>
              <c:pt idx="156">
                <c:v>3.9000000000000004</c:v>
              </c:pt>
              <c:pt idx="157">
                <c:v>3.9250000000000003</c:v>
              </c:pt>
              <c:pt idx="158">
                <c:v>3.95</c:v>
              </c:pt>
              <c:pt idx="159">
                <c:v>3.9750000000000001</c:v>
              </c:pt>
              <c:pt idx="160">
                <c:v>4</c:v>
              </c:pt>
              <c:pt idx="161">
                <c:v>4.0250000000000004</c:v>
              </c:pt>
              <c:pt idx="162">
                <c:v>4.0500000000000007</c:v>
              </c:pt>
              <c:pt idx="163">
                <c:v>4.0749999999999993</c:v>
              </c:pt>
              <c:pt idx="164">
                <c:v>4.0999999999999996</c:v>
              </c:pt>
              <c:pt idx="165">
                <c:v>4.125</c:v>
              </c:pt>
              <c:pt idx="166">
                <c:v>4.1499999999999995</c:v>
              </c:pt>
              <c:pt idx="167">
                <c:v>4.1749999999999998</c:v>
              </c:pt>
              <c:pt idx="168">
                <c:v>4.2</c:v>
              </c:pt>
              <c:pt idx="169">
                <c:v>4.2249999999999996</c:v>
              </c:pt>
              <c:pt idx="170">
                <c:v>4.25</c:v>
              </c:pt>
              <c:pt idx="171">
                <c:v>4.2750000000000004</c:v>
              </c:pt>
              <c:pt idx="172">
                <c:v>4.3</c:v>
              </c:pt>
              <c:pt idx="173">
                <c:v>4.3250000000000002</c:v>
              </c:pt>
              <c:pt idx="174">
                <c:v>4.3499999999999996</c:v>
              </c:pt>
              <c:pt idx="175">
                <c:v>4.375</c:v>
              </c:pt>
              <c:pt idx="176">
                <c:v>4.4000000000000004</c:v>
              </c:pt>
              <c:pt idx="177">
                <c:v>4.4249999999999998</c:v>
              </c:pt>
              <c:pt idx="178">
                <c:v>4.45</c:v>
              </c:pt>
              <c:pt idx="179">
                <c:v>4.4749999999999996</c:v>
              </c:pt>
              <c:pt idx="180">
                <c:v>4.5</c:v>
              </c:pt>
              <c:pt idx="181">
                <c:v>4.5250000000000004</c:v>
              </c:pt>
              <c:pt idx="182">
                <c:v>4.55</c:v>
              </c:pt>
              <c:pt idx="183">
                <c:v>4.5750000000000002</c:v>
              </c:pt>
              <c:pt idx="184">
                <c:v>4.6000000000000005</c:v>
              </c:pt>
              <c:pt idx="185">
                <c:v>4.625</c:v>
              </c:pt>
              <c:pt idx="186">
                <c:v>4.6500000000000004</c:v>
              </c:pt>
              <c:pt idx="187">
                <c:v>4.6750000000000007</c:v>
              </c:pt>
              <c:pt idx="188">
                <c:v>4.6999999999999993</c:v>
              </c:pt>
              <c:pt idx="189">
                <c:v>4.7249999999999996</c:v>
              </c:pt>
              <c:pt idx="190">
                <c:v>4.75</c:v>
              </c:pt>
              <c:pt idx="191">
                <c:v>4.7749999999999995</c:v>
              </c:pt>
              <c:pt idx="192">
                <c:v>4.8</c:v>
              </c:pt>
              <c:pt idx="193">
                <c:v>4.8250000000000002</c:v>
              </c:pt>
              <c:pt idx="194">
                <c:v>4.8499999999999996</c:v>
              </c:pt>
              <c:pt idx="195">
                <c:v>4.875</c:v>
              </c:pt>
              <c:pt idx="196">
                <c:v>4.9000000000000004</c:v>
              </c:pt>
              <c:pt idx="197">
                <c:v>4.9249999999999998</c:v>
              </c:pt>
              <c:pt idx="198">
                <c:v>4.95</c:v>
              </c:pt>
              <c:pt idx="199">
                <c:v>4.9749999999999996</c:v>
              </c:pt>
              <c:pt idx="200">
                <c:v>5</c:v>
              </c:pt>
            </c:numLit>
          </c:cat>
          <c:val>
            <c:numRef>
              <c:f>'Calculations - Dual'!$BO$5:$BO$105</c:f>
              <c:numCache>
                <c:formatCode>0.0</c:formatCode>
                <c:ptCount val="101"/>
                <c:pt idx="0">
                  <c:v>6.9999999999999997E-7</c:v>
                </c:pt>
                <c:pt idx="1">
                  <c:v>2.1</c:v>
                </c:pt>
                <c:pt idx="2">
                  <c:v>4.2</c:v>
                </c:pt>
                <c:pt idx="3">
                  <c:v>6.2999999999999989</c:v>
                </c:pt>
                <c:pt idx="4">
                  <c:v>8.4</c:v>
                </c:pt>
                <c:pt idx="5">
                  <c:v>10.499999999999998</c:v>
                </c:pt>
                <c:pt idx="6">
                  <c:v>12.599999999999998</c:v>
                </c:pt>
                <c:pt idx="7">
                  <c:v>14.7</c:v>
                </c:pt>
                <c:pt idx="8">
                  <c:v>16.8</c:v>
                </c:pt>
                <c:pt idx="9">
                  <c:v>18.899999999999999</c:v>
                </c:pt>
                <c:pt idx="10">
                  <c:v>20.999999999999996</c:v>
                </c:pt>
                <c:pt idx="11">
                  <c:v>23.099999999999998</c:v>
                </c:pt>
                <c:pt idx="12">
                  <c:v>25.199999999999996</c:v>
                </c:pt>
                <c:pt idx="13">
                  <c:v>27.299999999999997</c:v>
                </c:pt>
                <c:pt idx="14">
                  <c:v>29.4</c:v>
                </c:pt>
                <c:pt idx="15">
                  <c:v>31.5</c:v>
                </c:pt>
                <c:pt idx="16">
                  <c:v>33.6</c:v>
                </c:pt>
                <c:pt idx="17">
                  <c:v>35.700000000000003</c:v>
                </c:pt>
                <c:pt idx="18">
                  <c:v>37.799999999999997</c:v>
                </c:pt>
                <c:pt idx="19">
                  <c:v>39.899999999999991</c:v>
                </c:pt>
                <c:pt idx="20">
                  <c:v>41.999999999999993</c:v>
                </c:pt>
                <c:pt idx="21">
                  <c:v>44.1</c:v>
                </c:pt>
                <c:pt idx="22">
                  <c:v>46.199999999999996</c:v>
                </c:pt>
                <c:pt idx="23">
                  <c:v>48.300000000000004</c:v>
                </c:pt>
                <c:pt idx="24">
                  <c:v>50.399999999999991</c:v>
                </c:pt>
                <c:pt idx="25">
                  <c:v>52.5</c:v>
                </c:pt>
                <c:pt idx="26">
                  <c:v>54.599999999999994</c:v>
                </c:pt>
                <c:pt idx="27">
                  <c:v>56.7</c:v>
                </c:pt>
                <c:pt idx="28">
                  <c:v>58.8</c:v>
                </c:pt>
                <c:pt idx="29">
                  <c:v>60.899999999999991</c:v>
                </c:pt>
                <c:pt idx="30">
                  <c:v>63</c:v>
                </c:pt>
                <c:pt idx="31">
                  <c:v>65.099999999999994</c:v>
                </c:pt>
                <c:pt idx="32">
                  <c:v>67.2</c:v>
                </c:pt>
                <c:pt idx="33">
                  <c:v>69.3</c:v>
                </c:pt>
                <c:pt idx="34">
                  <c:v>71.400000000000006</c:v>
                </c:pt>
                <c:pt idx="35">
                  <c:v>73.5</c:v>
                </c:pt>
                <c:pt idx="36">
                  <c:v>75.599999999999994</c:v>
                </c:pt>
                <c:pt idx="37">
                  <c:v>77.699999999999989</c:v>
                </c:pt>
                <c:pt idx="38">
                  <c:v>79.799999999999983</c:v>
                </c:pt>
                <c:pt idx="39">
                  <c:v>81.899999999999991</c:v>
                </c:pt>
                <c:pt idx="40">
                  <c:v>83.999999999999986</c:v>
                </c:pt>
                <c:pt idx="41">
                  <c:v>86.09999999999998</c:v>
                </c:pt>
                <c:pt idx="42">
                  <c:v>88.2</c:v>
                </c:pt>
                <c:pt idx="43">
                  <c:v>90.3</c:v>
                </c:pt>
                <c:pt idx="44">
                  <c:v>92.399999999999991</c:v>
                </c:pt>
                <c:pt idx="45">
                  <c:v>94.5</c:v>
                </c:pt>
                <c:pt idx="46">
                  <c:v>96.600000000000009</c:v>
                </c:pt>
                <c:pt idx="47">
                  <c:v>98.699999999999989</c:v>
                </c:pt>
                <c:pt idx="48">
                  <c:v>100.79999999999998</c:v>
                </c:pt>
                <c:pt idx="49">
                  <c:v>102.89999999999999</c:v>
                </c:pt>
                <c:pt idx="50">
                  <c:v>105</c:v>
                </c:pt>
                <c:pt idx="51">
                  <c:v>107.09999999999998</c:v>
                </c:pt>
                <c:pt idx="52">
                  <c:v>109.19999999999999</c:v>
                </c:pt>
                <c:pt idx="53">
                  <c:v>111.3</c:v>
                </c:pt>
                <c:pt idx="54">
                  <c:v>113.4</c:v>
                </c:pt>
                <c:pt idx="55">
                  <c:v>115.49999999999999</c:v>
                </c:pt>
                <c:pt idx="56">
                  <c:v>117.6</c:v>
                </c:pt>
                <c:pt idx="57">
                  <c:v>119.69999999999999</c:v>
                </c:pt>
                <c:pt idx="58">
                  <c:v>121.79999999999998</c:v>
                </c:pt>
                <c:pt idx="59">
                  <c:v>123.89999999999998</c:v>
                </c:pt>
                <c:pt idx="60">
                  <c:v>126</c:v>
                </c:pt>
                <c:pt idx="61">
                  <c:v>128.1</c:v>
                </c:pt>
                <c:pt idx="62">
                  <c:v>130.19999999999999</c:v>
                </c:pt>
                <c:pt idx="63">
                  <c:v>132.30000000000001</c:v>
                </c:pt>
                <c:pt idx="64">
                  <c:v>134.4</c:v>
                </c:pt>
                <c:pt idx="65">
                  <c:v>136.49999999999997</c:v>
                </c:pt>
                <c:pt idx="66">
                  <c:v>138.6</c:v>
                </c:pt>
                <c:pt idx="67">
                  <c:v>140.69999999999999</c:v>
                </c:pt>
                <c:pt idx="68">
                  <c:v>142.80000000000001</c:v>
                </c:pt>
                <c:pt idx="69">
                  <c:v>144.89999999999998</c:v>
                </c:pt>
                <c:pt idx="70">
                  <c:v>147</c:v>
                </c:pt>
                <c:pt idx="71">
                  <c:v>149.1</c:v>
                </c:pt>
                <c:pt idx="72">
                  <c:v>151.19999999999999</c:v>
                </c:pt>
                <c:pt idx="73">
                  <c:v>153.29999999999998</c:v>
                </c:pt>
                <c:pt idx="74">
                  <c:v>155.39999999999998</c:v>
                </c:pt>
                <c:pt idx="75">
                  <c:v>157.49999999999997</c:v>
                </c:pt>
                <c:pt idx="76">
                  <c:v>159.59999999999997</c:v>
                </c:pt>
                <c:pt idx="77">
                  <c:v>161.69999999999999</c:v>
                </c:pt>
                <c:pt idx="78">
                  <c:v>163.79999999999998</c:v>
                </c:pt>
                <c:pt idx="79">
                  <c:v>165.9</c:v>
                </c:pt>
                <c:pt idx="80">
                  <c:v>167.99999999999997</c:v>
                </c:pt>
                <c:pt idx="81">
                  <c:v>170.09999999999997</c:v>
                </c:pt>
                <c:pt idx="82">
                  <c:v>172.19999999999996</c:v>
                </c:pt>
                <c:pt idx="83">
                  <c:v>174.29999999999998</c:v>
                </c:pt>
                <c:pt idx="84">
                  <c:v>176.4</c:v>
                </c:pt>
                <c:pt idx="85">
                  <c:v>178.5</c:v>
                </c:pt>
                <c:pt idx="86">
                  <c:v>180.6</c:v>
                </c:pt>
                <c:pt idx="87">
                  <c:v>182.7</c:v>
                </c:pt>
                <c:pt idx="88">
                  <c:v>184.79999999999998</c:v>
                </c:pt>
                <c:pt idx="89">
                  <c:v>186.9</c:v>
                </c:pt>
                <c:pt idx="90">
                  <c:v>189</c:v>
                </c:pt>
                <c:pt idx="91">
                  <c:v>191.1</c:v>
                </c:pt>
                <c:pt idx="92">
                  <c:v>193.20000000000002</c:v>
                </c:pt>
                <c:pt idx="93">
                  <c:v>195.3</c:v>
                </c:pt>
                <c:pt idx="94">
                  <c:v>197.39999999999998</c:v>
                </c:pt>
                <c:pt idx="95">
                  <c:v>199.49999999999997</c:v>
                </c:pt>
                <c:pt idx="96">
                  <c:v>201.59999999999997</c:v>
                </c:pt>
                <c:pt idx="97">
                  <c:v>203.69999999999996</c:v>
                </c:pt>
                <c:pt idx="98">
                  <c:v>205.79999999999998</c:v>
                </c:pt>
                <c:pt idx="99">
                  <c:v>207.89999999999998</c:v>
                </c:pt>
                <c:pt idx="100">
                  <c:v>210</c:v>
                </c:pt>
              </c:numCache>
            </c:numRef>
          </c:val>
          <c:smooth val="0"/>
        </c:ser>
        <c:ser>
          <c:idx val="3"/>
          <c:order val="2"/>
          <c:tx>
            <c:strRef>
              <c:f>'Calculations - Dual'!$BE$3</c:f>
              <c:strCache>
                <c:ptCount val="1"/>
                <c:pt idx="0">
                  <c:v>IC Loss</c:v>
                </c:pt>
              </c:strCache>
            </c:strRef>
          </c:tx>
          <c:spPr>
            <a:ln w="38100">
              <a:solidFill>
                <a:srgbClr val="800080"/>
              </a:solidFill>
              <a:prstDash val="dash"/>
            </a:ln>
          </c:spPr>
          <c:marker>
            <c:symbol val="none"/>
          </c:marker>
          <c:cat>
            <c:numLit>
              <c:formatCode>General</c:formatCode>
              <c:ptCount val="201"/>
              <c:pt idx="0">
                <c:v>0</c:v>
              </c:pt>
              <c:pt idx="1">
                <c:v>2.5000000000000001E-2</c:v>
              </c:pt>
              <c:pt idx="2">
                <c:v>0.05</c:v>
              </c:pt>
              <c:pt idx="3">
                <c:v>7.4999999999999997E-2</c:v>
              </c:pt>
              <c:pt idx="4">
                <c:v>0.1</c:v>
              </c:pt>
              <c:pt idx="5">
                <c:v>0.125</c:v>
              </c:pt>
              <c:pt idx="6">
                <c:v>0.15</c:v>
              </c:pt>
              <c:pt idx="7">
                <c:v>0.17500000000000002</c:v>
              </c:pt>
              <c:pt idx="8">
                <c:v>0.2</c:v>
              </c:pt>
              <c:pt idx="9">
                <c:v>0.22499999999999998</c:v>
              </c:pt>
              <c:pt idx="10">
                <c:v>0.25</c:v>
              </c:pt>
              <c:pt idx="11">
                <c:v>0.27500000000000002</c:v>
              </c:pt>
              <c:pt idx="12">
                <c:v>0.3</c:v>
              </c:pt>
              <c:pt idx="13">
                <c:v>0.32500000000000001</c:v>
              </c:pt>
              <c:pt idx="14">
                <c:v>0.35000000000000003</c:v>
              </c:pt>
              <c:pt idx="15">
                <c:v>0.375</c:v>
              </c:pt>
              <c:pt idx="16">
                <c:v>0.4</c:v>
              </c:pt>
              <c:pt idx="17">
                <c:v>0.42500000000000004</c:v>
              </c:pt>
              <c:pt idx="18">
                <c:v>0.44999999999999996</c:v>
              </c:pt>
              <c:pt idx="19">
                <c:v>0.47499999999999998</c:v>
              </c:pt>
              <c:pt idx="20">
                <c:v>0.5</c:v>
              </c:pt>
              <c:pt idx="21">
                <c:v>0.52500000000000002</c:v>
              </c:pt>
              <c:pt idx="22">
                <c:v>0.55000000000000004</c:v>
              </c:pt>
              <c:pt idx="23">
                <c:v>0.57500000000000007</c:v>
              </c:pt>
              <c:pt idx="24">
                <c:v>0.6</c:v>
              </c:pt>
              <c:pt idx="25">
                <c:v>0.625</c:v>
              </c:pt>
              <c:pt idx="26">
                <c:v>0.65</c:v>
              </c:pt>
              <c:pt idx="27">
                <c:v>0.67500000000000004</c:v>
              </c:pt>
              <c:pt idx="28">
                <c:v>0.70000000000000007</c:v>
              </c:pt>
              <c:pt idx="29">
                <c:v>0.72499999999999998</c:v>
              </c:pt>
              <c:pt idx="30">
                <c:v>0.75</c:v>
              </c:pt>
              <c:pt idx="31">
                <c:v>0.77500000000000002</c:v>
              </c:pt>
              <c:pt idx="32">
                <c:v>0.8</c:v>
              </c:pt>
              <c:pt idx="33">
                <c:v>0.82500000000000007</c:v>
              </c:pt>
              <c:pt idx="34">
                <c:v>0.85000000000000009</c:v>
              </c:pt>
              <c:pt idx="35">
                <c:v>0.875</c:v>
              </c:pt>
              <c:pt idx="36">
                <c:v>0.89999999999999991</c:v>
              </c:pt>
              <c:pt idx="37">
                <c:v>0.92500000000000004</c:v>
              </c:pt>
              <c:pt idx="38">
                <c:v>0.95</c:v>
              </c:pt>
              <c:pt idx="39">
                <c:v>0.97500000000000009</c:v>
              </c:pt>
              <c:pt idx="40">
                <c:v>1</c:v>
              </c:pt>
              <c:pt idx="41">
                <c:v>1.0249999999999999</c:v>
              </c:pt>
              <c:pt idx="42">
                <c:v>1.05</c:v>
              </c:pt>
              <c:pt idx="43">
                <c:v>1.075</c:v>
              </c:pt>
              <c:pt idx="44">
                <c:v>1.1000000000000001</c:v>
              </c:pt>
              <c:pt idx="45">
                <c:v>1.125</c:v>
              </c:pt>
              <c:pt idx="46">
                <c:v>1.1500000000000001</c:v>
              </c:pt>
              <c:pt idx="47">
                <c:v>1.1749999999999998</c:v>
              </c:pt>
              <c:pt idx="48">
                <c:v>1.2</c:v>
              </c:pt>
              <c:pt idx="49">
                <c:v>1.2250000000000001</c:v>
              </c:pt>
              <c:pt idx="50">
                <c:v>1.25</c:v>
              </c:pt>
              <c:pt idx="51">
                <c:v>1.2749999999999999</c:v>
              </c:pt>
              <c:pt idx="52">
                <c:v>1.3</c:v>
              </c:pt>
              <c:pt idx="53">
                <c:v>1.3250000000000002</c:v>
              </c:pt>
              <c:pt idx="54">
                <c:v>1.35</c:v>
              </c:pt>
              <c:pt idx="55">
                <c:v>1.375</c:v>
              </c:pt>
              <c:pt idx="56">
                <c:v>1.4000000000000001</c:v>
              </c:pt>
              <c:pt idx="57">
                <c:v>1.4249999999999998</c:v>
              </c:pt>
              <c:pt idx="58">
                <c:v>1.45</c:v>
              </c:pt>
              <c:pt idx="59">
                <c:v>1.4749999999999999</c:v>
              </c:pt>
              <c:pt idx="60">
                <c:v>1.5</c:v>
              </c:pt>
              <c:pt idx="61">
                <c:v>1.5249999999999999</c:v>
              </c:pt>
              <c:pt idx="62">
                <c:v>1.55</c:v>
              </c:pt>
              <c:pt idx="63">
                <c:v>1.575</c:v>
              </c:pt>
              <c:pt idx="64">
                <c:v>1.6</c:v>
              </c:pt>
              <c:pt idx="65">
                <c:v>1.625</c:v>
              </c:pt>
              <c:pt idx="66">
                <c:v>1.6500000000000001</c:v>
              </c:pt>
              <c:pt idx="67">
                <c:v>1.675</c:v>
              </c:pt>
              <c:pt idx="68">
                <c:v>1.7000000000000002</c:v>
              </c:pt>
              <c:pt idx="69">
                <c:v>1.7249999999999999</c:v>
              </c:pt>
              <c:pt idx="70">
                <c:v>1.75</c:v>
              </c:pt>
              <c:pt idx="71">
                <c:v>1.7749999999999999</c:v>
              </c:pt>
              <c:pt idx="72">
                <c:v>1.7999999999999998</c:v>
              </c:pt>
              <c:pt idx="73">
                <c:v>1.825</c:v>
              </c:pt>
              <c:pt idx="74">
                <c:v>1.85</c:v>
              </c:pt>
              <c:pt idx="75">
                <c:v>1.875</c:v>
              </c:pt>
              <c:pt idx="76">
                <c:v>1.9</c:v>
              </c:pt>
              <c:pt idx="77">
                <c:v>1.925</c:v>
              </c:pt>
              <c:pt idx="78">
                <c:v>1.9500000000000002</c:v>
              </c:pt>
              <c:pt idx="79">
                <c:v>1.9750000000000001</c:v>
              </c:pt>
              <c:pt idx="80">
                <c:v>2</c:v>
              </c:pt>
              <c:pt idx="81">
                <c:v>2.0250000000000004</c:v>
              </c:pt>
              <c:pt idx="82">
                <c:v>2.0499999999999998</c:v>
              </c:pt>
              <c:pt idx="83">
                <c:v>2.0749999999999997</c:v>
              </c:pt>
              <c:pt idx="84">
                <c:v>2.1</c:v>
              </c:pt>
              <c:pt idx="85">
                <c:v>2.125</c:v>
              </c:pt>
              <c:pt idx="86">
                <c:v>2.15</c:v>
              </c:pt>
              <c:pt idx="87">
                <c:v>2.1749999999999998</c:v>
              </c:pt>
              <c:pt idx="88">
                <c:v>2.2000000000000002</c:v>
              </c:pt>
              <c:pt idx="89">
                <c:v>2.2250000000000001</c:v>
              </c:pt>
              <c:pt idx="90">
                <c:v>2.25</c:v>
              </c:pt>
              <c:pt idx="91">
                <c:v>2.2749999999999999</c:v>
              </c:pt>
              <c:pt idx="92">
                <c:v>2.3000000000000003</c:v>
              </c:pt>
              <c:pt idx="93">
                <c:v>2.3250000000000002</c:v>
              </c:pt>
              <c:pt idx="94">
                <c:v>2.3499999999999996</c:v>
              </c:pt>
              <c:pt idx="95">
                <c:v>2.375</c:v>
              </c:pt>
              <c:pt idx="96">
                <c:v>2.4</c:v>
              </c:pt>
              <c:pt idx="97">
                <c:v>2.4249999999999998</c:v>
              </c:pt>
              <c:pt idx="98">
                <c:v>2.4500000000000002</c:v>
              </c:pt>
              <c:pt idx="99">
                <c:v>2.4750000000000001</c:v>
              </c:pt>
              <c:pt idx="100">
                <c:v>2.5</c:v>
              </c:pt>
              <c:pt idx="101">
                <c:v>2.5249999999999999</c:v>
              </c:pt>
              <c:pt idx="102">
                <c:v>2.5499999999999998</c:v>
              </c:pt>
              <c:pt idx="103">
                <c:v>2.5750000000000002</c:v>
              </c:pt>
              <c:pt idx="104">
                <c:v>2.6</c:v>
              </c:pt>
              <c:pt idx="105">
                <c:v>2.625</c:v>
              </c:pt>
              <c:pt idx="106">
                <c:v>2.6500000000000004</c:v>
              </c:pt>
              <c:pt idx="107">
                <c:v>2.6750000000000003</c:v>
              </c:pt>
              <c:pt idx="108">
                <c:v>2.7</c:v>
              </c:pt>
              <c:pt idx="109">
                <c:v>2.7250000000000001</c:v>
              </c:pt>
              <c:pt idx="110">
                <c:v>2.75</c:v>
              </c:pt>
              <c:pt idx="111">
                <c:v>2.7750000000000004</c:v>
              </c:pt>
              <c:pt idx="112">
                <c:v>2.8000000000000003</c:v>
              </c:pt>
              <c:pt idx="113">
                <c:v>2.8249999999999997</c:v>
              </c:pt>
              <c:pt idx="114">
                <c:v>2.8499999999999996</c:v>
              </c:pt>
              <c:pt idx="115">
                <c:v>2.875</c:v>
              </c:pt>
              <c:pt idx="116">
                <c:v>2.9</c:v>
              </c:pt>
              <c:pt idx="117">
                <c:v>2.9249999999999998</c:v>
              </c:pt>
              <c:pt idx="118">
                <c:v>2.9499999999999997</c:v>
              </c:pt>
              <c:pt idx="119">
                <c:v>2.9749999999999996</c:v>
              </c:pt>
              <c:pt idx="120">
                <c:v>3</c:v>
              </c:pt>
              <c:pt idx="121">
                <c:v>3.0249999999999999</c:v>
              </c:pt>
              <c:pt idx="122">
                <c:v>3.05</c:v>
              </c:pt>
              <c:pt idx="123">
                <c:v>3.0750000000000002</c:v>
              </c:pt>
              <c:pt idx="124">
                <c:v>3.1</c:v>
              </c:pt>
              <c:pt idx="125">
                <c:v>3.125</c:v>
              </c:pt>
              <c:pt idx="126">
                <c:v>3.15</c:v>
              </c:pt>
              <c:pt idx="127">
                <c:v>3.1749999999999998</c:v>
              </c:pt>
              <c:pt idx="128">
                <c:v>3.2</c:v>
              </c:pt>
              <c:pt idx="129">
                <c:v>3.2250000000000001</c:v>
              </c:pt>
              <c:pt idx="130">
                <c:v>3.25</c:v>
              </c:pt>
              <c:pt idx="131">
                <c:v>3.2750000000000004</c:v>
              </c:pt>
              <c:pt idx="132">
                <c:v>3.3000000000000003</c:v>
              </c:pt>
              <c:pt idx="133">
                <c:v>3.3250000000000002</c:v>
              </c:pt>
              <c:pt idx="134">
                <c:v>3.35</c:v>
              </c:pt>
              <c:pt idx="135">
                <c:v>3.375</c:v>
              </c:pt>
              <c:pt idx="136">
                <c:v>3.4000000000000004</c:v>
              </c:pt>
              <c:pt idx="137">
                <c:v>3.4250000000000003</c:v>
              </c:pt>
              <c:pt idx="138">
                <c:v>3.4499999999999997</c:v>
              </c:pt>
              <c:pt idx="139">
                <c:v>3.4749999999999996</c:v>
              </c:pt>
              <c:pt idx="140">
                <c:v>3.5</c:v>
              </c:pt>
              <c:pt idx="141">
                <c:v>3.5249999999999999</c:v>
              </c:pt>
              <c:pt idx="142">
                <c:v>3.55</c:v>
              </c:pt>
              <c:pt idx="143">
                <c:v>3.5749999999999997</c:v>
              </c:pt>
              <c:pt idx="144">
                <c:v>3.5999999999999996</c:v>
              </c:pt>
              <c:pt idx="145">
                <c:v>3.625</c:v>
              </c:pt>
              <c:pt idx="146">
                <c:v>3.65</c:v>
              </c:pt>
              <c:pt idx="147">
                <c:v>3.6749999999999998</c:v>
              </c:pt>
              <c:pt idx="148">
                <c:v>3.7</c:v>
              </c:pt>
              <c:pt idx="149">
                <c:v>3.7250000000000001</c:v>
              </c:pt>
              <c:pt idx="150">
                <c:v>3.75</c:v>
              </c:pt>
              <c:pt idx="151">
                <c:v>3.7749999999999999</c:v>
              </c:pt>
              <c:pt idx="152">
                <c:v>3.8</c:v>
              </c:pt>
              <c:pt idx="153">
                <c:v>3.8250000000000002</c:v>
              </c:pt>
              <c:pt idx="154">
                <c:v>3.85</c:v>
              </c:pt>
              <c:pt idx="155">
                <c:v>3.875</c:v>
              </c:pt>
              <c:pt idx="156">
                <c:v>3.9000000000000004</c:v>
              </c:pt>
              <c:pt idx="157">
                <c:v>3.9250000000000003</c:v>
              </c:pt>
              <c:pt idx="158">
                <c:v>3.95</c:v>
              </c:pt>
              <c:pt idx="159">
                <c:v>3.9750000000000001</c:v>
              </c:pt>
              <c:pt idx="160">
                <c:v>4</c:v>
              </c:pt>
              <c:pt idx="161">
                <c:v>4.0250000000000004</c:v>
              </c:pt>
              <c:pt idx="162">
                <c:v>4.0500000000000007</c:v>
              </c:pt>
              <c:pt idx="163">
                <c:v>4.0749999999999993</c:v>
              </c:pt>
              <c:pt idx="164">
                <c:v>4.0999999999999996</c:v>
              </c:pt>
              <c:pt idx="165">
                <c:v>4.125</c:v>
              </c:pt>
              <c:pt idx="166">
                <c:v>4.1499999999999995</c:v>
              </c:pt>
              <c:pt idx="167">
                <c:v>4.1749999999999998</c:v>
              </c:pt>
              <c:pt idx="168">
                <c:v>4.2</c:v>
              </c:pt>
              <c:pt idx="169">
                <c:v>4.2249999999999996</c:v>
              </c:pt>
              <c:pt idx="170">
                <c:v>4.25</c:v>
              </c:pt>
              <c:pt idx="171">
                <c:v>4.2750000000000004</c:v>
              </c:pt>
              <c:pt idx="172">
                <c:v>4.3</c:v>
              </c:pt>
              <c:pt idx="173">
                <c:v>4.3250000000000002</c:v>
              </c:pt>
              <c:pt idx="174">
                <c:v>4.3499999999999996</c:v>
              </c:pt>
              <c:pt idx="175">
                <c:v>4.375</c:v>
              </c:pt>
              <c:pt idx="176">
                <c:v>4.4000000000000004</c:v>
              </c:pt>
              <c:pt idx="177">
                <c:v>4.4249999999999998</c:v>
              </c:pt>
              <c:pt idx="178">
                <c:v>4.45</c:v>
              </c:pt>
              <c:pt idx="179">
                <c:v>4.4749999999999996</c:v>
              </c:pt>
              <c:pt idx="180">
                <c:v>4.5</c:v>
              </c:pt>
              <c:pt idx="181">
                <c:v>4.5250000000000004</c:v>
              </c:pt>
              <c:pt idx="182">
                <c:v>4.55</c:v>
              </c:pt>
              <c:pt idx="183">
                <c:v>4.5750000000000002</c:v>
              </c:pt>
              <c:pt idx="184">
                <c:v>4.6000000000000005</c:v>
              </c:pt>
              <c:pt idx="185">
                <c:v>4.625</c:v>
              </c:pt>
              <c:pt idx="186">
                <c:v>4.6500000000000004</c:v>
              </c:pt>
              <c:pt idx="187">
                <c:v>4.6750000000000007</c:v>
              </c:pt>
              <c:pt idx="188">
                <c:v>4.6999999999999993</c:v>
              </c:pt>
              <c:pt idx="189">
                <c:v>4.7249999999999996</c:v>
              </c:pt>
              <c:pt idx="190">
                <c:v>4.75</c:v>
              </c:pt>
              <c:pt idx="191">
                <c:v>4.7749999999999995</c:v>
              </c:pt>
              <c:pt idx="192">
                <c:v>4.8</c:v>
              </c:pt>
              <c:pt idx="193">
                <c:v>4.8250000000000002</c:v>
              </c:pt>
              <c:pt idx="194">
                <c:v>4.8499999999999996</c:v>
              </c:pt>
              <c:pt idx="195">
                <c:v>4.875</c:v>
              </c:pt>
              <c:pt idx="196">
                <c:v>4.9000000000000004</c:v>
              </c:pt>
              <c:pt idx="197">
                <c:v>4.9249999999999998</c:v>
              </c:pt>
              <c:pt idx="198">
                <c:v>4.95</c:v>
              </c:pt>
              <c:pt idx="199">
                <c:v>4.9749999999999996</c:v>
              </c:pt>
              <c:pt idx="200">
                <c:v>5</c:v>
              </c:pt>
            </c:numLit>
          </c:cat>
          <c:val>
            <c:numRef>
              <c:f>'Calculations - Dual'!$BJ$5:$BJ$105</c:f>
              <c:numCache>
                <c:formatCode>0.0</c:formatCode>
                <c:ptCount val="101"/>
                <c:pt idx="0">
                  <c:v>4.9170695486111109</c:v>
                </c:pt>
                <c:pt idx="1">
                  <c:v>7.3887949969654185</c:v>
                </c:pt>
                <c:pt idx="2">
                  <c:v>11.297589993930837</c:v>
                </c:pt>
                <c:pt idx="3">
                  <c:v>15.206384990896252</c:v>
                </c:pt>
                <c:pt idx="4">
                  <c:v>19.115179987861673</c:v>
                </c:pt>
                <c:pt idx="5">
                  <c:v>23.023974984827088</c:v>
                </c:pt>
                <c:pt idx="6">
                  <c:v>26.932769981792504</c:v>
                </c:pt>
                <c:pt idx="7">
                  <c:v>30.841564978757926</c:v>
                </c:pt>
                <c:pt idx="8">
                  <c:v>34.750359975723342</c:v>
                </c:pt>
                <c:pt idx="9">
                  <c:v>39.376453172253299</c:v>
                </c:pt>
                <c:pt idx="10">
                  <c:v>45.037659268207186</c:v>
                </c:pt>
                <c:pt idx="11">
                  <c:v>50.996236107588317</c:v>
                </c:pt>
                <c:pt idx="12">
                  <c:v>57.250033383741481</c:v>
                </c:pt>
                <c:pt idx="13">
                  <c:v>63.184105463737232</c:v>
                </c:pt>
                <c:pt idx="14">
                  <c:v>65.207008951195149</c:v>
                </c:pt>
                <c:pt idx="15">
                  <c:v>67.211357463692721</c:v>
                </c:pt>
                <c:pt idx="16">
                  <c:v>69.200702790966375</c:v>
                </c:pt>
                <c:pt idx="17">
                  <c:v>71.177996104970134</c:v>
                </c:pt>
                <c:pt idx="18">
                  <c:v>73.145714726502405</c:v>
                </c:pt>
                <c:pt idx="19">
                  <c:v>75.105956920925323</c:v>
                </c:pt>
                <c:pt idx="20">
                  <c:v>77.060513997987499</c:v>
                </c:pt>
                <c:pt idx="21">
                  <c:v>79.010925979254125</c:v>
                </c:pt>
                <c:pt idx="22">
                  <c:v>77.46832880270226</c:v>
                </c:pt>
                <c:pt idx="23">
                  <c:v>76.028935803923915</c:v>
                </c:pt>
                <c:pt idx="24">
                  <c:v>74.708931730685322</c:v>
                </c:pt>
                <c:pt idx="25">
                  <c:v>73.494737975550734</c:v>
                </c:pt>
                <c:pt idx="26">
                  <c:v>72.374780054163793</c:v>
                </c:pt>
                <c:pt idx="27">
                  <c:v>71.339128131691083</c:v>
                </c:pt>
                <c:pt idx="28">
                  <c:v>70.379212654086075</c:v>
                </c:pt>
                <c:pt idx="29">
                  <c:v>69.487597325710567</c:v>
                </c:pt>
                <c:pt idx="30">
                  <c:v>68.657796329610775</c:v>
                </c:pt>
                <c:pt idx="31">
                  <c:v>67.884126009750432</c:v>
                </c:pt>
                <c:pt idx="32">
                  <c:v>67.161583636710716</c:v>
                </c:pt>
                <c:pt idx="33">
                  <c:v>66.485747635240017</c:v>
                </c:pt>
                <c:pt idx="34">
                  <c:v>65.852694950924587</c:v>
                </c:pt>
                <c:pt idx="35">
                  <c:v>65.258932203280196</c:v>
                </c:pt>
                <c:pt idx="36">
                  <c:v>104.61650640586352</c:v>
                </c:pt>
                <c:pt idx="37">
                  <c:v>106.79651376166356</c:v>
                </c:pt>
                <c:pt idx="38">
                  <c:v>109.06063292526932</c:v>
                </c:pt>
                <c:pt idx="39">
                  <c:v>111.40763025339714</c:v>
                </c:pt>
                <c:pt idx="40">
                  <c:v>113.83639546709189</c:v>
                </c:pt>
                <c:pt idx="41">
                  <c:v>116.34592660729636</c:v>
                </c:pt>
                <c:pt idx="42">
                  <c:v>118.93531713962557</c:v>
                </c:pt>
                <c:pt idx="43">
                  <c:v>121.60374485847439</c:v>
                </c:pt>
                <c:pt idx="44">
                  <c:v>124.35046230420193</c:v>
                </c:pt>
                <c:pt idx="45">
                  <c:v>127.17478845802415</c:v>
                </c:pt>
                <c:pt idx="46">
                  <c:v>130.07610152018182</c:v>
                </c:pt>
                <c:pt idx="47">
                  <c:v>133.05383261004408</c:v>
                </c:pt>
                <c:pt idx="48">
                  <c:v>136.10746025369937</c:v>
                </c:pt>
                <c:pt idx="49">
                  <c:v>139.23650554653503</c:v>
                </c:pt>
                <c:pt idx="50">
                  <c:v>142.44052789630729</c:v>
                </c:pt>
                <c:pt idx="51">
                  <c:v>145.71912126702691</c:v>
                </c:pt>
                <c:pt idx="52">
                  <c:v>149.07191085624231</c:v>
                </c:pt>
                <c:pt idx="53">
                  <c:v>152.4985501484793</c:v>
                </c:pt>
                <c:pt idx="54">
                  <c:v>155.99871829607656</c:v>
                </c:pt>
                <c:pt idx="55">
                  <c:v>159.57211778574839</c:v>
                </c:pt>
                <c:pt idx="56">
                  <c:v>163.21847235515773</c:v>
                </c:pt>
                <c:pt idx="57">
                  <c:v>166.93752512879831</c:v>
                </c:pt>
                <c:pt idx="58">
                  <c:v>170.72903694671618</c:v>
                </c:pt>
                <c:pt idx="59">
                  <c:v>174.59278486319141</c:v>
                </c:pt>
                <c:pt idx="60">
                  <c:v>178.5285607955521</c:v>
                </c:pt>
                <c:pt idx="61">
                  <c:v>182.5361703058916</c:v>
                </c:pt>
                <c:pt idx="62">
                  <c:v>186.61543150068451</c:v>
                </c:pt>
                <c:pt idx="63">
                  <c:v>190.76617403520066</c:v>
                </c:pt>
                <c:pt idx="64">
                  <c:v>192.25865908680191</c:v>
                </c:pt>
                <c:pt idx="65">
                  <c:v>190.98471771360079</c:v>
                </c:pt>
                <c:pt idx="66">
                  <c:v>189.72849917970768</c:v>
                </c:pt>
                <c:pt idx="67">
                  <c:v>188.48963620454592</c:v>
                </c:pt>
                <c:pt idx="68">
                  <c:v>187.26777158640354</c:v>
                </c:pt>
                <c:pt idx="69">
                  <c:v>186.06255785906117</c:v>
                </c:pt>
                <c:pt idx="70">
                  <c:v>184.87365696236097</c:v>
                </c:pt>
                <c:pt idx="71">
                  <c:v>183.70073992606459</c:v>
                </c:pt>
                <c:pt idx="72">
                  <c:v>182.54348656637484</c:v>
                </c:pt>
                <c:pt idx="73">
                  <c:v>181.4015851945361</c:v>
                </c:pt>
                <c:pt idx="74">
                  <c:v>180.27473233695545</c:v>
                </c:pt>
                <c:pt idx="75">
                  <c:v>179.16263246631624</c:v>
                </c:pt>
                <c:pt idx="76">
                  <c:v>178.06499774318328</c:v>
                </c:pt>
                <c:pt idx="77">
                  <c:v>176.98154776762709</c:v>
                </c:pt>
                <c:pt idx="78">
                  <c:v>175.91200934041444</c:v>
                </c:pt>
                <c:pt idx="79">
                  <c:v>174.85611623334006</c:v>
                </c:pt>
                <c:pt idx="80">
                  <c:v>173.81360896829193</c:v>
                </c:pt>
                <c:pt idx="81">
                  <c:v>172.78423460466766</c:v>
                </c:pt>
                <c:pt idx="82">
                  <c:v>171.76774653477352</c:v>
                </c:pt>
                <c:pt idx="83">
                  <c:v>170.76390428685966</c:v>
                </c:pt>
                <c:pt idx="84">
                  <c:v>169.77247333546168</c:v>
                </c:pt>
                <c:pt idx="85">
                  <c:v>168.79322491873307</c:v>
                </c:pt>
                <c:pt idx="86">
                  <c:v>167.82593586247043</c:v>
                </c:pt>
                <c:pt idx="87">
                  <c:v>166.87038841054738</c:v>
                </c:pt>
                <c:pt idx="88">
                  <c:v>165.9263700614853</c:v>
                </c:pt>
                <c:pt idx="89">
                  <c:v>164.99367341090516</c:v>
                </c:pt>
                <c:pt idx="90">
                  <c:v>164.07209599961328</c:v>
                </c:pt>
                <c:pt idx="91">
                  <c:v>163.16144016708824</c:v>
                </c:pt>
                <c:pt idx="92">
                  <c:v>162.26151291014648</c:v>
                </c:pt>
                <c:pt idx="93">
                  <c:v>161.37212574657318</c:v>
                </c:pt>
                <c:pt idx="94">
                  <c:v>160.49309458351721</c:v>
                </c:pt>
                <c:pt idx="95">
                  <c:v>159.62423959045699</c:v>
                </c:pt>
                <c:pt idx="96">
                  <c:v>158.76538507655218</c:v>
                </c:pt>
                <c:pt idx="97">
                  <c:v>157.9163593722065</c:v>
                </c:pt>
                <c:pt idx="98">
                  <c:v>157.07699471467359</c:v>
                </c:pt>
                <c:pt idx="99">
                  <c:v>156.24712713754579</c:v>
                </c:pt>
                <c:pt idx="100">
                  <c:v>155.42659636397309</c:v>
                </c:pt>
              </c:numCache>
            </c:numRef>
          </c:val>
          <c:smooth val="0"/>
        </c:ser>
        <c:ser>
          <c:idx val="1"/>
          <c:order val="3"/>
          <c:tx>
            <c:strRef>
              <c:f>'Calculations - Dual'!$BP$3</c:f>
              <c:strCache>
                <c:ptCount val="1"/>
                <c:pt idx="0">
                  <c:v>Transformer Loss</c:v>
                </c:pt>
              </c:strCache>
            </c:strRef>
          </c:tx>
          <c:spPr>
            <a:ln w="38100">
              <a:solidFill>
                <a:srgbClr val="002060"/>
              </a:solidFill>
              <a:prstDash val="sysDot"/>
            </a:ln>
          </c:spPr>
          <c:marker>
            <c:symbol val="none"/>
          </c:marker>
          <c:cat>
            <c:numLit>
              <c:formatCode>General</c:formatCode>
              <c:ptCount val="201"/>
              <c:pt idx="0">
                <c:v>0</c:v>
              </c:pt>
              <c:pt idx="1">
                <c:v>2.5000000000000001E-2</c:v>
              </c:pt>
              <c:pt idx="2">
                <c:v>0.05</c:v>
              </c:pt>
              <c:pt idx="3">
                <c:v>7.4999999999999997E-2</c:v>
              </c:pt>
              <c:pt idx="4">
                <c:v>0.1</c:v>
              </c:pt>
              <c:pt idx="5">
                <c:v>0.125</c:v>
              </c:pt>
              <c:pt idx="6">
                <c:v>0.15</c:v>
              </c:pt>
              <c:pt idx="7">
                <c:v>0.17500000000000002</c:v>
              </c:pt>
              <c:pt idx="8">
                <c:v>0.2</c:v>
              </c:pt>
              <c:pt idx="9">
                <c:v>0.22499999999999998</c:v>
              </c:pt>
              <c:pt idx="10">
                <c:v>0.25</c:v>
              </c:pt>
              <c:pt idx="11">
                <c:v>0.27500000000000002</c:v>
              </c:pt>
              <c:pt idx="12">
                <c:v>0.3</c:v>
              </c:pt>
              <c:pt idx="13">
                <c:v>0.32500000000000001</c:v>
              </c:pt>
              <c:pt idx="14">
                <c:v>0.35000000000000003</c:v>
              </c:pt>
              <c:pt idx="15">
                <c:v>0.375</c:v>
              </c:pt>
              <c:pt idx="16">
                <c:v>0.4</c:v>
              </c:pt>
              <c:pt idx="17">
                <c:v>0.42500000000000004</c:v>
              </c:pt>
              <c:pt idx="18">
                <c:v>0.44999999999999996</c:v>
              </c:pt>
              <c:pt idx="19">
                <c:v>0.47499999999999998</c:v>
              </c:pt>
              <c:pt idx="20">
                <c:v>0.5</c:v>
              </c:pt>
              <c:pt idx="21">
                <c:v>0.52500000000000002</c:v>
              </c:pt>
              <c:pt idx="22">
                <c:v>0.55000000000000004</c:v>
              </c:pt>
              <c:pt idx="23">
                <c:v>0.57500000000000007</c:v>
              </c:pt>
              <c:pt idx="24">
                <c:v>0.6</c:v>
              </c:pt>
              <c:pt idx="25">
                <c:v>0.625</c:v>
              </c:pt>
              <c:pt idx="26">
                <c:v>0.65</c:v>
              </c:pt>
              <c:pt idx="27">
                <c:v>0.67500000000000004</c:v>
              </c:pt>
              <c:pt idx="28">
                <c:v>0.70000000000000007</c:v>
              </c:pt>
              <c:pt idx="29">
                <c:v>0.72499999999999998</c:v>
              </c:pt>
              <c:pt idx="30">
                <c:v>0.75</c:v>
              </c:pt>
              <c:pt idx="31">
                <c:v>0.77500000000000002</c:v>
              </c:pt>
              <c:pt idx="32">
                <c:v>0.8</c:v>
              </c:pt>
              <c:pt idx="33">
                <c:v>0.82500000000000007</c:v>
              </c:pt>
              <c:pt idx="34">
                <c:v>0.85000000000000009</c:v>
              </c:pt>
              <c:pt idx="35">
                <c:v>0.875</c:v>
              </c:pt>
              <c:pt idx="36">
                <c:v>0.89999999999999991</c:v>
              </c:pt>
              <c:pt idx="37">
                <c:v>0.92500000000000004</c:v>
              </c:pt>
              <c:pt idx="38">
                <c:v>0.95</c:v>
              </c:pt>
              <c:pt idx="39">
                <c:v>0.97500000000000009</c:v>
              </c:pt>
              <c:pt idx="40">
                <c:v>1</c:v>
              </c:pt>
              <c:pt idx="41">
                <c:v>1.0249999999999999</c:v>
              </c:pt>
              <c:pt idx="42">
                <c:v>1.05</c:v>
              </c:pt>
              <c:pt idx="43">
                <c:v>1.075</c:v>
              </c:pt>
              <c:pt idx="44">
                <c:v>1.1000000000000001</c:v>
              </c:pt>
              <c:pt idx="45">
                <c:v>1.125</c:v>
              </c:pt>
              <c:pt idx="46">
                <c:v>1.1500000000000001</c:v>
              </c:pt>
              <c:pt idx="47">
                <c:v>1.1749999999999998</c:v>
              </c:pt>
              <c:pt idx="48">
                <c:v>1.2</c:v>
              </c:pt>
              <c:pt idx="49">
                <c:v>1.2250000000000001</c:v>
              </c:pt>
              <c:pt idx="50">
                <c:v>1.25</c:v>
              </c:pt>
              <c:pt idx="51">
                <c:v>1.2749999999999999</c:v>
              </c:pt>
              <c:pt idx="52">
                <c:v>1.3</c:v>
              </c:pt>
              <c:pt idx="53">
                <c:v>1.3250000000000002</c:v>
              </c:pt>
              <c:pt idx="54">
                <c:v>1.35</c:v>
              </c:pt>
              <c:pt idx="55">
                <c:v>1.375</c:v>
              </c:pt>
              <c:pt idx="56">
                <c:v>1.4000000000000001</c:v>
              </c:pt>
              <c:pt idx="57">
                <c:v>1.4249999999999998</c:v>
              </c:pt>
              <c:pt idx="58">
                <c:v>1.45</c:v>
              </c:pt>
              <c:pt idx="59">
                <c:v>1.4749999999999999</c:v>
              </c:pt>
              <c:pt idx="60">
                <c:v>1.5</c:v>
              </c:pt>
              <c:pt idx="61">
                <c:v>1.5249999999999999</c:v>
              </c:pt>
              <c:pt idx="62">
                <c:v>1.55</c:v>
              </c:pt>
              <c:pt idx="63">
                <c:v>1.575</c:v>
              </c:pt>
              <c:pt idx="64">
                <c:v>1.6</c:v>
              </c:pt>
              <c:pt idx="65">
                <c:v>1.625</c:v>
              </c:pt>
              <c:pt idx="66">
                <c:v>1.6500000000000001</c:v>
              </c:pt>
              <c:pt idx="67">
                <c:v>1.675</c:v>
              </c:pt>
              <c:pt idx="68">
                <c:v>1.7000000000000002</c:v>
              </c:pt>
              <c:pt idx="69">
                <c:v>1.7249999999999999</c:v>
              </c:pt>
              <c:pt idx="70">
                <c:v>1.75</c:v>
              </c:pt>
              <c:pt idx="71">
                <c:v>1.7749999999999999</c:v>
              </c:pt>
              <c:pt idx="72">
                <c:v>1.7999999999999998</c:v>
              </c:pt>
              <c:pt idx="73">
                <c:v>1.825</c:v>
              </c:pt>
              <c:pt idx="74">
                <c:v>1.85</c:v>
              </c:pt>
              <c:pt idx="75">
                <c:v>1.875</c:v>
              </c:pt>
              <c:pt idx="76">
                <c:v>1.9</c:v>
              </c:pt>
              <c:pt idx="77">
                <c:v>1.925</c:v>
              </c:pt>
              <c:pt idx="78">
                <c:v>1.9500000000000002</c:v>
              </c:pt>
              <c:pt idx="79">
                <c:v>1.9750000000000001</c:v>
              </c:pt>
              <c:pt idx="80">
                <c:v>2</c:v>
              </c:pt>
              <c:pt idx="81">
                <c:v>2.0250000000000004</c:v>
              </c:pt>
              <c:pt idx="82">
                <c:v>2.0499999999999998</c:v>
              </c:pt>
              <c:pt idx="83">
                <c:v>2.0749999999999997</c:v>
              </c:pt>
              <c:pt idx="84">
                <c:v>2.1</c:v>
              </c:pt>
              <c:pt idx="85">
                <c:v>2.125</c:v>
              </c:pt>
              <c:pt idx="86">
                <c:v>2.15</c:v>
              </c:pt>
              <c:pt idx="87">
                <c:v>2.1749999999999998</c:v>
              </c:pt>
              <c:pt idx="88">
                <c:v>2.2000000000000002</c:v>
              </c:pt>
              <c:pt idx="89">
                <c:v>2.2250000000000001</c:v>
              </c:pt>
              <c:pt idx="90">
                <c:v>2.25</c:v>
              </c:pt>
              <c:pt idx="91">
                <c:v>2.2749999999999999</c:v>
              </c:pt>
              <c:pt idx="92">
                <c:v>2.3000000000000003</c:v>
              </c:pt>
              <c:pt idx="93">
                <c:v>2.3250000000000002</c:v>
              </c:pt>
              <c:pt idx="94">
                <c:v>2.3499999999999996</c:v>
              </c:pt>
              <c:pt idx="95">
                <c:v>2.375</c:v>
              </c:pt>
              <c:pt idx="96">
                <c:v>2.4</c:v>
              </c:pt>
              <c:pt idx="97">
                <c:v>2.4249999999999998</c:v>
              </c:pt>
              <c:pt idx="98">
                <c:v>2.4500000000000002</c:v>
              </c:pt>
              <c:pt idx="99">
                <c:v>2.4750000000000001</c:v>
              </c:pt>
              <c:pt idx="100">
                <c:v>2.5</c:v>
              </c:pt>
              <c:pt idx="101">
                <c:v>2.5249999999999999</c:v>
              </c:pt>
              <c:pt idx="102">
                <c:v>2.5499999999999998</c:v>
              </c:pt>
              <c:pt idx="103">
                <c:v>2.5750000000000002</c:v>
              </c:pt>
              <c:pt idx="104">
                <c:v>2.6</c:v>
              </c:pt>
              <c:pt idx="105">
                <c:v>2.625</c:v>
              </c:pt>
              <c:pt idx="106">
                <c:v>2.6500000000000004</c:v>
              </c:pt>
              <c:pt idx="107">
                <c:v>2.6750000000000003</c:v>
              </c:pt>
              <c:pt idx="108">
                <c:v>2.7</c:v>
              </c:pt>
              <c:pt idx="109">
                <c:v>2.7250000000000001</c:v>
              </c:pt>
              <c:pt idx="110">
                <c:v>2.75</c:v>
              </c:pt>
              <c:pt idx="111">
                <c:v>2.7750000000000004</c:v>
              </c:pt>
              <c:pt idx="112">
                <c:v>2.8000000000000003</c:v>
              </c:pt>
              <c:pt idx="113">
                <c:v>2.8249999999999997</c:v>
              </c:pt>
              <c:pt idx="114">
                <c:v>2.8499999999999996</c:v>
              </c:pt>
              <c:pt idx="115">
                <c:v>2.875</c:v>
              </c:pt>
              <c:pt idx="116">
                <c:v>2.9</c:v>
              </c:pt>
              <c:pt idx="117">
                <c:v>2.9249999999999998</c:v>
              </c:pt>
              <c:pt idx="118">
                <c:v>2.9499999999999997</c:v>
              </c:pt>
              <c:pt idx="119">
                <c:v>2.9749999999999996</c:v>
              </c:pt>
              <c:pt idx="120">
                <c:v>3</c:v>
              </c:pt>
              <c:pt idx="121">
                <c:v>3.0249999999999999</c:v>
              </c:pt>
              <c:pt idx="122">
                <c:v>3.05</c:v>
              </c:pt>
              <c:pt idx="123">
                <c:v>3.0750000000000002</c:v>
              </c:pt>
              <c:pt idx="124">
                <c:v>3.1</c:v>
              </c:pt>
              <c:pt idx="125">
                <c:v>3.125</c:v>
              </c:pt>
              <c:pt idx="126">
                <c:v>3.15</c:v>
              </c:pt>
              <c:pt idx="127">
                <c:v>3.1749999999999998</c:v>
              </c:pt>
              <c:pt idx="128">
                <c:v>3.2</c:v>
              </c:pt>
              <c:pt idx="129">
                <c:v>3.2250000000000001</c:v>
              </c:pt>
              <c:pt idx="130">
                <c:v>3.25</c:v>
              </c:pt>
              <c:pt idx="131">
                <c:v>3.2750000000000004</c:v>
              </c:pt>
              <c:pt idx="132">
                <c:v>3.3000000000000003</c:v>
              </c:pt>
              <c:pt idx="133">
                <c:v>3.3250000000000002</c:v>
              </c:pt>
              <c:pt idx="134">
                <c:v>3.35</c:v>
              </c:pt>
              <c:pt idx="135">
                <c:v>3.375</c:v>
              </c:pt>
              <c:pt idx="136">
                <c:v>3.4000000000000004</c:v>
              </c:pt>
              <c:pt idx="137">
                <c:v>3.4250000000000003</c:v>
              </c:pt>
              <c:pt idx="138">
                <c:v>3.4499999999999997</c:v>
              </c:pt>
              <c:pt idx="139">
                <c:v>3.4749999999999996</c:v>
              </c:pt>
              <c:pt idx="140">
                <c:v>3.5</c:v>
              </c:pt>
              <c:pt idx="141">
                <c:v>3.5249999999999999</c:v>
              </c:pt>
              <c:pt idx="142">
                <c:v>3.55</c:v>
              </c:pt>
              <c:pt idx="143">
                <c:v>3.5749999999999997</c:v>
              </c:pt>
              <c:pt idx="144">
                <c:v>3.5999999999999996</c:v>
              </c:pt>
              <c:pt idx="145">
                <c:v>3.625</c:v>
              </c:pt>
              <c:pt idx="146">
                <c:v>3.65</c:v>
              </c:pt>
              <c:pt idx="147">
                <c:v>3.6749999999999998</c:v>
              </c:pt>
              <c:pt idx="148">
                <c:v>3.7</c:v>
              </c:pt>
              <c:pt idx="149">
                <c:v>3.7250000000000001</c:v>
              </c:pt>
              <c:pt idx="150">
                <c:v>3.75</c:v>
              </c:pt>
              <c:pt idx="151">
                <c:v>3.7749999999999999</c:v>
              </c:pt>
              <c:pt idx="152">
                <c:v>3.8</c:v>
              </c:pt>
              <c:pt idx="153">
                <c:v>3.8250000000000002</c:v>
              </c:pt>
              <c:pt idx="154">
                <c:v>3.85</c:v>
              </c:pt>
              <c:pt idx="155">
                <c:v>3.875</c:v>
              </c:pt>
              <c:pt idx="156">
                <c:v>3.9000000000000004</c:v>
              </c:pt>
              <c:pt idx="157">
                <c:v>3.9250000000000003</c:v>
              </c:pt>
              <c:pt idx="158">
                <c:v>3.95</c:v>
              </c:pt>
              <c:pt idx="159">
                <c:v>3.9750000000000001</c:v>
              </c:pt>
              <c:pt idx="160">
                <c:v>4</c:v>
              </c:pt>
              <c:pt idx="161">
                <c:v>4.0250000000000004</c:v>
              </c:pt>
              <c:pt idx="162">
                <c:v>4.0500000000000007</c:v>
              </c:pt>
              <c:pt idx="163">
                <c:v>4.0749999999999993</c:v>
              </c:pt>
              <c:pt idx="164">
                <c:v>4.0999999999999996</c:v>
              </c:pt>
              <c:pt idx="165">
                <c:v>4.125</c:v>
              </c:pt>
              <c:pt idx="166">
                <c:v>4.1499999999999995</c:v>
              </c:pt>
              <c:pt idx="167">
                <c:v>4.1749999999999998</c:v>
              </c:pt>
              <c:pt idx="168">
                <c:v>4.2</c:v>
              </c:pt>
              <c:pt idx="169">
                <c:v>4.2249999999999996</c:v>
              </c:pt>
              <c:pt idx="170">
                <c:v>4.25</c:v>
              </c:pt>
              <c:pt idx="171">
                <c:v>4.2750000000000004</c:v>
              </c:pt>
              <c:pt idx="172">
                <c:v>4.3</c:v>
              </c:pt>
              <c:pt idx="173">
                <c:v>4.3250000000000002</c:v>
              </c:pt>
              <c:pt idx="174">
                <c:v>4.3499999999999996</c:v>
              </c:pt>
              <c:pt idx="175">
                <c:v>4.375</c:v>
              </c:pt>
              <c:pt idx="176">
                <c:v>4.4000000000000004</c:v>
              </c:pt>
              <c:pt idx="177">
                <c:v>4.4249999999999998</c:v>
              </c:pt>
              <c:pt idx="178">
                <c:v>4.45</c:v>
              </c:pt>
              <c:pt idx="179">
                <c:v>4.4749999999999996</c:v>
              </c:pt>
              <c:pt idx="180">
                <c:v>4.5</c:v>
              </c:pt>
              <c:pt idx="181">
                <c:v>4.5250000000000004</c:v>
              </c:pt>
              <c:pt idx="182">
                <c:v>4.55</c:v>
              </c:pt>
              <c:pt idx="183">
                <c:v>4.5750000000000002</c:v>
              </c:pt>
              <c:pt idx="184">
                <c:v>4.6000000000000005</c:v>
              </c:pt>
              <c:pt idx="185">
                <c:v>4.625</c:v>
              </c:pt>
              <c:pt idx="186">
                <c:v>4.6500000000000004</c:v>
              </c:pt>
              <c:pt idx="187">
                <c:v>4.6750000000000007</c:v>
              </c:pt>
              <c:pt idx="188">
                <c:v>4.6999999999999993</c:v>
              </c:pt>
              <c:pt idx="189">
                <c:v>4.7249999999999996</c:v>
              </c:pt>
              <c:pt idx="190">
                <c:v>4.75</c:v>
              </c:pt>
              <c:pt idx="191">
                <c:v>4.7749999999999995</c:v>
              </c:pt>
              <c:pt idx="192">
                <c:v>4.8</c:v>
              </c:pt>
              <c:pt idx="193">
                <c:v>4.8250000000000002</c:v>
              </c:pt>
              <c:pt idx="194">
                <c:v>4.8499999999999996</c:v>
              </c:pt>
              <c:pt idx="195">
                <c:v>4.875</c:v>
              </c:pt>
              <c:pt idx="196">
                <c:v>4.9000000000000004</c:v>
              </c:pt>
              <c:pt idx="197">
                <c:v>4.9249999999999998</c:v>
              </c:pt>
              <c:pt idx="198">
                <c:v>4.95</c:v>
              </c:pt>
              <c:pt idx="199">
                <c:v>4.9749999999999996</c:v>
              </c:pt>
              <c:pt idx="200">
                <c:v>5</c:v>
              </c:pt>
            </c:numLit>
          </c:cat>
          <c:val>
            <c:numRef>
              <c:f>'Calculations - Dual'!$BU$5:$BU$105</c:f>
              <c:numCache>
                <c:formatCode>0.0</c:formatCode>
                <c:ptCount val="101"/>
                <c:pt idx="0">
                  <c:v>3.3122089710512417</c:v>
                </c:pt>
                <c:pt idx="1">
                  <c:v>4.7982847291687385</c:v>
                </c:pt>
                <c:pt idx="2">
                  <c:v>7.1763735563764559</c:v>
                </c:pt>
                <c:pt idx="3">
                  <c:v>9.6005495010517805</c:v>
                </c:pt>
                <c:pt idx="4">
                  <c:v>12.081342690608077</c:v>
                </c:pt>
                <c:pt idx="5">
                  <c:v>14.627579704515284</c:v>
                </c:pt>
                <c:pt idx="6">
                  <c:v>17.247019931133202</c:v>
                </c:pt>
                <c:pt idx="7">
                  <c:v>19.946670871096529</c:v>
                </c:pt>
                <c:pt idx="8">
                  <c:v>22.732972673957789</c:v>
                </c:pt>
                <c:pt idx="9">
                  <c:v>27.030697766276514</c:v>
                </c:pt>
                <c:pt idx="10">
                  <c:v>33.577271859396518</c:v>
                </c:pt>
                <c:pt idx="11">
                  <c:v>41.004072341128342</c:v>
                </c:pt>
                <c:pt idx="12">
                  <c:v>49.372663692484544</c:v>
                </c:pt>
                <c:pt idx="13">
                  <c:v>58.053747410350759</c:v>
                </c:pt>
                <c:pt idx="14">
                  <c:v>62.632905246242338</c:v>
                </c:pt>
                <c:pt idx="15">
                  <c:v>67.220763323339455</c:v>
                </c:pt>
                <c:pt idx="16">
                  <c:v>71.816771836216276</c:v>
                </c:pt>
                <c:pt idx="17">
                  <c:v>76.420445125256805</c:v>
                </c:pt>
                <c:pt idx="18">
                  <c:v>81.031350897967798</c:v>
                </c:pt>
                <c:pt idx="19">
                  <c:v>85.64910175950429</c:v>
                </c:pt>
                <c:pt idx="20">
                  <c:v>90.273348461784721</c:v>
                </c:pt>
                <c:pt idx="21">
                  <c:v>94.903774453762281</c:v>
                </c:pt>
                <c:pt idx="22">
                  <c:v>94.259127534554935</c:v>
                </c:pt>
                <c:pt idx="23">
                  <c:v>93.656036563328314</c:v>
                </c:pt>
                <c:pt idx="24">
                  <c:v>93.130698075830409</c:v>
                </c:pt>
                <c:pt idx="25">
                  <c:v>92.673163020835872</c:v>
                </c:pt>
                <c:pt idx="26">
                  <c:v>92.275094329904604</c:v>
                </c:pt>
                <c:pt idx="27">
                  <c:v>91.929455566195301</c:v>
                </c:pt>
                <c:pt idx="28">
                  <c:v>91.630268673689628</c:v>
                </c:pt>
                <c:pt idx="29">
                  <c:v>91.37242364144565</c:v>
                </c:pt>
                <c:pt idx="30">
                  <c:v>91.151527600560698</c:v>
                </c:pt>
                <c:pt idx="31">
                  <c:v>90.963784177703161</c:v>
                </c:pt>
                <c:pt idx="32">
                  <c:v>90.8058962838452</c:v>
                </c:pt>
                <c:pt idx="33">
                  <c:v>90.674987214438119</c:v>
                </c:pt>
                <c:pt idx="34">
                  <c:v>90.568536175005391</c:v>
                </c:pt>
                <c:pt idx="35">
                  <c:v>90.484325258115859</c:v>
                </c:pt>
                <c:pt idx="36">
                  <c:v>171.83638608217723</c:v>
                </c:pt>
                <c:pt idx="37">
                  <c:v>176.35002953942083</c:v>
                </c:pt>
                <c:pt idx="38">
                  <c:v>180.87706048864365</c:v>
                </c:pt>
                <c:pt idx="39">
                  <c:v>185.41747892984577</c:v>
                </c:pt>
                <c:pt idx="40">
                  <c:v>189.97128486302719</c:v>
                </c:pt>
                <c:pt idx="41">
                  <c:v>194.53847828818789</c:v>
                </c:pt>
                <c:pt idx="42">
                  <c:v>199.11905920532791</c:v>
                </c:pt>
                <c:pt idx="43">
                  <c:v>203.71302761444713</c:v>
                </c:pt>
                <c:pt idx="44">
                  <c:v>208.32038351554573</c:v>
                </c:pt>
                <c:pt idx="45">
                  <c:v>212.94112690862352</c:v>
                </c:pt>
                <c:pt idx="46">
                  <c:v>217.57525779368058</c:v>
                </c:pt>
                <c:pt idx="47">
                  <c:v>222.22277617071688</c:v>
                </c:pt>
                <c:pt idx="48">
                  <c:v>226.88368203973252</c:v>
                </c:pt>
                <c:pt idx="49">
                  <c:v>231.5579754007274</c:v>
                </c:pt>
                <c:pt idx="50">
                  <c:v>236.2456562537017</c:v>
                </c:pt>
                <c:pt idx="51">
                  <c:v>240.94672459865518</c:v>
                </c:pt>
                <c:pt idx="52">
                  <c:v>245.66118043558782</c:v>
                </c:pt>
                <c:pt idx="53">
                  <c:v>250.38902376449988</c:v>
                </c:pt>
                <c:pt idx="54">
                  <c:v>255.13025458539113</c:v>
                </c:pt>
                <c:pt idx="55">
                  <c:v>259.88487289826173</c:v>
                </c:pt>
                <c:pt idx="56">
                  <c:v>264.65287870311158</c:v>
                </c:pt>
                <c:pt idx="57">
                  <c:v>269.43427199994062</c:v>
                </c:pt>
                <c:pt idx="58">
                  <c:v>274.22905278874902</c:v>
                </c:pt>
                <c:pt idx="59">
                  <c:v>279.03722106953677</c:v>
                </c:pt>
                <c:pt idx="60">
                  <c:v>283.85877684230377</c:v>
                </c:pt>
                <c:pt idx="61">
                  <c:v>288.6937201070499</c:v>
                </c:pt>
                <c:pt idx="62">
                  <c:v>293.54205086377544</c:v>
                </c:pt>
                <c:pt idx="63">
                  <c:v>298.40376911248023</c:v>
                </c:pt>
                <c:pt idx="64">
                  <c:v>299.97416317546214</c:v>
                </c:pt>
                <c:pt idx="65">
                  <c:v>298.18177681914045</c:v>
                </c:pt>
                <c:pt idx="66">
                  <c:v>296.41734386045357</c:v>
                </c:pt>
                <c:pt idx="67">
                  <c:v>294.68021304324981</c:v>
                </c:pt>
                <c:pt idx="68">
                  <c:v>292.96975317916861</c:v>
                </c:pt>
                <c:pt idx="69">
                  <c:v>291.28535238251357</c:v>
                </c:pt>
                <c:pt idx="70">
                  <c:v>289.62641733974039</c:v>
                </c:pt>
                <c:pt idx="71">
                  <c:v>287.99237261175637</c:v>
                </c:pt>
                <c:pt idx="72">
                  <c:v>286.38265996732969</c:v>
                </c:pt>
                <c:pt idx="73">
                  <c:v>284.79673774600923</c:v>
                </c:pt>
                <c:pt idx="74">
                  <c:v>283.2340802490487</c:v>
                </c:pt>
                <c:pt idx="75">
                  <c:v>281.69417715691259</c:v>
                </c:pt>
                <c:pt idx="76">
                  <c:v>280.17653297202696</c:v>
                </c:pt>
                <c:pt idx="77">
                  <c:v>278.68066648551292</c:v>
                </c:pt>
                <c:pt idx="78">
                  <c:v>277.20611026670929</c:v>
                </c:pt>
                <c:pt idx="79">
                  <c:v>275.75241017436213</c:v>
                </c:pt>
                <c:pt idx="80">
                  <c:v>274.31912488841976</c:v>
                </c:pt>
                <c:pt idx="81">
                  <c:v>272.90582546142781</c:v>
                </c:pt>
                <c:pt idx="82">
                  <c:v>271.51209488858069</c:v>
                </c:pt>
                <c:pt idx="83">
                  <c:v>270.13752769552946</c:v>
                </c:pt>
                <c:pt idx="84">
                  <c:v>268.78172954310287</c:v>
                </c:pt>
                <c:pt idx="85">
                  <c:v>267.44431684813708</c:v>
                </c:pt>
                <c:pt idx="86">
                  <c:v>266.12491641965715</c:v>
                </c:pt>
                <c:pt idx="87">
                  <c:v>264.82316510969235</c:v>
                </c:pt>
                <c:pt idx="88">
                  <c:v>263.53870947804415</c:v>
                </c:pt>
                <c:pt idx="89">
                  <c:v>262.27120547036372</c:v>
                </c:pt>
                <c:pt idx="90">
                  <c:v>261.02031810892743</c:v>
                </c:pt>
                <c:pt idx="91">
                  <c:v>259.78572119553223</c:v>
                </c:pt>
                <c:pt idx="92">
                  <c:v>258.56709702596112</c:v>
                </c:pt>
                <c:pt idx="93">
                  <c:v>257.36413611549835</c:v>
                </c:pt>
                <c:pt idx="94">
                  <c:v>256.176536935</c:v>
                </c:pt>
                <c:pt idx="95">
                  <c:v>255.00400565704979</c:v>
                </c:pt>
                <c:pt idx="96">
                  <c:v>253.8462559117562</c:v>
                </c:pt>
                <c:pt idx="97">
                  <c:v>252.70300855176509</c:v>
                </c:pt>
                <c:pt idx="98">
                  <c:v>251.57399142608838</c:v>
                </c:pt>
                <c:pt idx="99">
                  <c:v>250.45893916236329</c:v>
                </c:pt>
                <c:pt idx="100">
                  <c:v>249.35759295718111</c:v>
                </c:pt>
              </c:numCache>
            </c:numRef>
          </c:val>
          <c:smooth val="0"/>
        </c:ser>
        <c:dLbls>
          <c:showLegendKey val="0"/>
          <c:showVal val="0"/>
          <c:showCatName val="0"/>
          <c:showSerName val="0"/>
          <c:showPercent val="0"/>
          <c:showBubbleSize val="0"/>
        </c:dLbls>
        <c:marker val="1"/>
        <c:smooth val="0"/>
        <c:axId val="139319168"/>
        <c:axId val="139317248"/>
      </c:lineChart>
      <c:catAx>
        <c:axId val="139300864"/>
        <c:scaling>
          <c:orientation val="minMax"/>
        </c:scaling>
        <c:delete val="0"/>
        <c:axPos val="b"/>
        <c:majorGridlines>
          <c:spPr>
            <a:ln w="15875">
              <a:solidFill>
                <a:srgbClr val="969696"/>
              </a:solidFill>
              <a:prstDash val="sysDash"/>
            </a:ln>
          </c:spPr>
        </c:majorGridlines>
        <c:minorGridlines/>
        <c:title>
          <c:tx>
            <c:rich>
              <a:bodyPr/>
              <a:lstStyle/>
              <a:p>
                <a:pPr>
                  <a:defRPr sz="1200" b="1" i="0" u="none" strike="noStrike" baseline="0">
                    <a:solidFill>
                      <a:srgbClr val="0000FF"/>
                    </a:solidFill>
                    <a:latin typeface="Arial" pitchFamily="34" charset="0"/>
                    <a:ea typeface="Calibri"/>
                    <a:cs typeface="Arial" pitchFamily="34" charset="0"/>
                  </a:defRPr>
                </a:pPr>
                <a:r>
                  <a:rPr lang="en-US" sz="1200">
                    <a:solidFill>
                      <a:srgbClr val="0000FF"/>
                    </a:solidFill>
                    <a:latin typeface="Arial" pitchFamily="34" charset="0"/>
                    <a:cs typeface="Arial" pitchFamily="34" charset="0"/>
                  </a:rPr>
                  <a:t>%</a:t>
                </a:r>
                <a:r>
                  <a:rPr lang="en-US" sz="1200" baseline="0">
                    <a:solidFill>
                      <a:srgbClr val="0000FF"/>
                    </a:solidFill>
                    <a:latin typeface="Arial" pitchFamily="34" charset="0"/>
                    <a:cs typeface="Arial" pitchFamily="34" charset="0"/>
                  </a:rPr>
                  <a:t> Total Rated Output Power</a:t>
                </a:r>
                <a:endParaRPr lang="en-US" sz="1200">
                  <a:solidFill>
                    <a:srgbClr val="0000FF"/>
                  </a:solidFill>
                  <a:latin typeface="Arial" pitchFamily="34" charset="0"/>
                  <a:cs typeface="Arial" pitchFamily="34" charset="0"/>
                </a:endParaRPr>
              </a:p>
            </c:rich>
          </c:tx>
          <c:layout>
            <c:manualLayout>
              <c:xMode val="edge"/>
              <c:yMode val="edge"/>
              <c:x val="0.42471011396394504"/>
              <c:y val="0.93853771636955563"/>
            </c:manualLayout>
          </c:layout>
          <c:overlay val="0"/>
          <c:spPr>
            <a:noFill/>
            <a:ln w="25400">
              <a:noFill/>
            </a:ln>
          </c:spPr>
        </c:title>
        <c:numFmt formatCode="General" sourceLinked="1"/>
        <c:majorTickMark val="in"/>
        <c:minorTickMark val="in"/>
        <c:tickLblPos val="nextTo"/>
        <c:spPr>
          <a:ln w="3175">
            <a:solidFill>
              <a:srgbClr val="000000"/>
            </a:solidFill>
            <a:prstDash val="solid"/>
          </a:ln>
        </c:spPr>
        <c:txPr>
          <a:bodyPr rot="0" vert="horz"/>
          <a:lstStyle/>
          <a:p>
            <a:pPr>
              <a:defRPr sz="1100" b="1" i="0" u="none" strike="noStrike" baseline="0">
                <a:solidFill>
                  <a:srgbClr val="0000FF"/>
                </a:solidFill>
                <a:latin typeface="Arial" pitchFamily="34" charset="0"/>
                <a:ea typeface="Calibri"/>
                <a:cs typeface="Arial" pitchFamily="34" charset="0"/>
              </a:defRPr>
            </a:pPr>
            <a:endParaRPr lang="ko-KR"/>
          </a:p>
        </c:txPr>
        <c:crossAx val="139302784"/>
        <c:crosses val="autoZero"/>
        <c:auto val="1"/>
        <c:lblAlgn val="ctr"/>
        <c:lblOffset val="100"/>
        <c:tickLblSkip val="20"/>
        <c:tickMarkSkip val="20"/>
        <c:noMultiLvlLbl val="0"/>
      </c:catAx>
      <c:valAx>
        <c:axId val="139302784"/>
        <c:scaling>
          <c:orientation val="minMax"/>
          <c:max val="100"/>
          <c:min val="55"/>
        </c:scaling>
        <c:delete val="0"/>
        <c:axPos val="l"/>
        <c:majorGridlines>
          <c:spPr>
            <a:ln w="15875">
              <a:solidFill>
                <a:srgbClr val="808080"/>
              </a:solidFill>
              <a:prstDash val="solid"/>
            </a:ln>
          </c:spPr>
        </c:majorGridlines>
        <c:title>
          <c:tx>
            <c:rich>
              <a:bodyPr/>
              <a:lstStyle/>
              <a:p>
                <a:pPr>
                  <a:defRPr sz="1400" b="1" i="0" u="none" strike="noStrike" baseline="0">
                    <a:solidFill>
                      <a:srgbClr val="FF0000"/>
                    </a:solidFill>
                    <a:latin typeface="Arial" pitchFamily="34" charset="0"/>
                    <a:ea typeface="Calibri"/>
                    <a:cs typeface="Arial" pitchFamily="34" charset="0"/>
                  </a:defRPr>
                </a:pPr>
                <a:r>
                  <a:rPr lang="en-US" sz="1200" b="1">
                    <a:solidFill>
                      <a:srgbClr val="FF0000"/>
                    </a:solidFill>
                    <a:latin typeface="Arial" pitchFamily="34" charset="0"/>
                    <a:cs typeface="Arial" pitchFamily="34" charset="0"/>
                  </a:rPr>
                  <a:t>Efficiency  (%)</a:t>
                </a:r>
              </a:p>
            </c:rich>
          </c:tx>
          <c:layout>
            <c:manualLayout>
              <c:xMode val="edge"/>
              <c:yMode val="edge"/>
              <c:x val="1.2871858674081443E-2"/>
              <c:y val="0.37638177915688309"/>
            </c:manualLayout>
          </c:layout>
          <c:overlay val="0"/>
          <c:spPr>
            <a:noFill/>
            <a:ln w="25400">
              <a:noFill/>
            </a:ln>
          </c:spPr>
        </c:title>
        <c:numFmt formatCode="General" sourceLinked="0"/>
        <c:majorTickMark val="in"/>
        <c:minorTickMark val="in"/>
        <c:tickLblPos val="nextTo"/>
        <c:spPr>
          <a:ln w="3175">
            <a:solidFill>
              <a:srgbClr val="000000"/>
            </a:solidFill>
            <a:prstDash val="solid"/>
          </a:ln>
        </c:spPr>
        <c:txPr>
          <a:bodyPr rot="0" vert="horz"/>
          <a:lstStyle/>
          <a:p>
            <a:pPr>
              <a:defRPr sz="1100" b="1" i="0" u="none" strike="noStrike" baseline="0">
                <a:solidFill>
                  <a:srgbClr val="FF0000"/>
                </a:solidFill>
                <a:latin typeface="Arial" pitchFamily="34" charset="0"/>
                <a:ea typeface="Calibri"/>
                <a:cs typeface="Arial" pitchFamily="34" charset="0"/>
              </a:defRPr>
            </a:pPr>
            <a:endParaRPr lang="ko-KR"/>
          </a:p>
        </c:txPr>
        <c:crossAx val="139300864"/>
        <c:crossesAt val="0"/>
        <c:crossBetween val="between"/>
        <c:majorUnit val="5"/>
        <c:minorUnit val="2.5"/>
      </c:valAx>
      <c:valAx>
        <c:axId val="139317248"/>
        <c:scaling>
          <c:orientation val="minMax"/>
        </c:scaling>
        <c:delete val="0"/>
        <c:axPos val="r"/>
        <c:title>
          <c:tx>
            <c:rich>
              <a:bodyPr rot="-5400000" vert="horz"/>
              <a:lstStyle/>
              <a:p>
                <a:pPr>
                  <a:defRPr sz="1200" b="1"/>
                </a:pPr>
                <a:r>
                  <a:rPr lang="en-US" sz="1200" b="1"/>
                  <a:t>Power Loss (mW)</a:t>
                </a:r>
              </a:p>
            </c:rich>
          </c:tx>
          <c:layout>
            <c:manualLayout>
              <c:xMode val="edge"/>
              <c:yMode val="edge"/>
              <c:x val="0.95168474305601269"/>
              <c:y val="0.38117714045368295"/>
            </c:manualLayout>
          </c:layout>
          <c:overlay val="0"/>
        </c:title>
        <c:numFmt formatCode="General" sourceLinked="0"/>
        <c:majorTickMark val="out"/>
        <c:minorTickMark val="none"/>
        <c:tickLblPos val="nextTo"/>
        <c:txPr>
          <a:bodyPr/>
          <a:lstStyle/>
          <a:p>
            <a:pPr>
              <a:defRPr sz="1100" b="1">
                <a:solidFill>
                  <a:sysClr val="windowText" lastClr="000000"/>
                </a:solidFill>
              </a:defRPr>
            </a:pPr>
            <a:endParaRPr lang="ko-KR"/>
          </a:p>
        </c:txPr>
        <c:crossAx val="139319168"/>
        <c:crosses val="max"/>
        <c:crossBetween val="between"/>
      </c:valAx>
      <c:catAx>
        <c:axId val="139319168"/>
        <c:scaling>
          <c:orientation val="minMax"/>
        </c:scaling>
        <c:delete val="1"/>
        <c:axPos val="b"/>
        <c:numFmt formatCode="General" sourceLinked="1"/>
        <c:majorTickMark val="out"/>
        <c:minorTickMark val="none"/>
        <c:tickLblPos val="nextTo"/>
        <c:crossAx val="139317248"/>
        <c:crosses val="autoZero"/>
        <c:auto val="1"/>
        <c:lblAlgn val="ctr"/>
        <c:lblOffset val="100"/>
        <c:noMultiLvlLbl val="0"/>
      </c:catAx>
      <c:spPr>
        <a:noFill/>
        <a:ln w="25400">
          <a:noFill/>
        </a:ln>
      </c:spPr>
    </c:plotArea>
    <c:legend>
      <c:legendPos val="t"/>
      <c:layout>
        <c:manualLayout>
          <c:xMode val="edge"/>
          <c:yMode val="edge"/>
          <c:x val="0.40102557566231317"/>
          <c:y val="1.1892633038167682E-2"/>
          <c:w val="0.50550962619267337"/>
          <c:h val="8.9795049320617604E-2"/>
        </c:manualLayout>
      </c:layout>
      <c:overlay val="0"/>
      <c:spPr>
        <a:solidFill>
          <a:srgbClr val="FFFFFF"/>
        </a:solidFill>
        <a:ln w="25400">
          <a:noFill/>
        </a:ln>
      </c:spPr>
      <c:txPr>
        <a:bodyPr/>
        <a:lstStyle/>
        <a:p>
          <a:pPr>
            <a:defRPr sz="1100" b="0" i="0" u="none" strike="noStrike" baseline="0">
              <a:solidFill>
                <a:srgbClr val="000000"/>
              </a:solidFill>
              <a:latin typeface="Arial" pitchFamily="34" charset="0"/>
              <a:ea typeface="Calibri"/>
              <a:cs typeface="Arial" pitchFamily="34" charset="0"/>
            </a:defRPr>
          </a:pPr>
          <a:endParaRPr lang="ko-KR"/>
        </a:p>
      </c:txPr>
    </c:legend>
    <c:plotVisOnly val="1"/>
    <c:dispBlanksAs val="gap"/>
    <c:showDLblsOverMax val="0"/>
  </c:chart>
  <c:spPr>
    <a:solidFill>
      <a:srgbClr val="FFFFFF"/>
    </a:solidFill>
    <a:ln w="9525">
      <a:solidFill>
        <a:srgbClr val="808080"/>
      </a:solidFill>
    </a:ln>
  </c:spPr>
  <c:txPr>
    <a:bodyPr/>
    <a:lstStyle/>
    <a:p>
      <a:pPr>
        <a:defRPr sz="850" b="0" i="0" u="none" strike="noStrike" baseline="0">
          <a:solidFill>
            <a:srgbClr val="000000"/>
          </a:solidFill>
          <a:latin typeface="Arial"/>
          <a:ea typeface="Arial"/>
          <a:cs typeface="Arial"/>
        </a:defRPr>
      </a:pPr>
      <a:endParaRPr lang="ko-KR"/>
    </a:p>
  </c:txPr>
  <c:printSettings>
    <c:headerFooter alignWithMargins="0"/>
    <c:pageMargins b="1" l="0.750000000000006" r="0.750000000000006" t="1" header="0.5" footer="0.5"/>
    <c:pageSetup paperSize="5" orientation="portrait"/>
  </c:printSettings>
</c:chartSpace>
</file>

<file path=xl/ctrlProps/ctrlProp1.xml><?xml version="1.0" encoding="utf-8"?>
<formControlPr xmlns="http://schemas.microsoft.com/office/spreadsheetml/2009/9/main" objectType="Spin" dx="16" fmlaLink="$E$7" max="65" min="3" page="10" val="12"/>
</file>

<file path=xl/ctrlProps/ctrlProp10.xml><?xml version="1.0" encoding="utf-8"?>
<formControlPr xmlns="http://schemas.microsoft.com/office/spreadsheetml/2009/9/main" objectType="Drop" dropStyle="combo" dx="16" fmlaLink="$Q$41" fmlaRange="'Variable Mgmt'!$R$56:$R$58" noThreeD="1" val="0"/>
</file>

<file path=xl/ctrlProps/ctrlProp11.xml><?xml version="1.0" encoding="utf-8"?>
<formControlPr xmlns="http://schemas.microsoft.com/office/spreadsheetml/2009/9/main" objectType="Drop" dropStyle="combo" dx="16" fmlaLink="$Q$38" fmlaRange="'Variable Mgmt'!$W$65:$W$68" noThreeD="1" sel="3" val="0"/>
</file>

<file path=xl/ctrlProps/ctrlProp12.xml><?xml version="1.0" encoding="utf-8"?>
<formControlPr xmlns="http://schemas.microsoft.com/office/spreadsheetml/2009/9/main" objectType="Drop" dropStyle="combo" dx="16" fmlaLink="$Q$37" fmlaRange="'Variable Mgmt'!$W$65:$W$68" noThreeD="1" sel="2" val="0"/>
</file>

<file path=xl/ctrlProps/ctrlProp13.xml><?xml version="1.0" encoding="utf-8"?>
<formControlPr xmlns="http://schemas.microsoft.com/office/spreadsheetml/2009/9/main" objectType="Drop" dropStyle="combo" dx="16" fmlaLink="$Q$40" fmlaRange="'Variable Mgmt'!$R$56:$R$58" noThreeD="1" val="0"/>
</file>

<file path=xl/ctrlProps/ctrlProp14.xml><?xml version="1.0" encoding="utf-8"?>
<formControlPr xmlns="http://schemas.microsoft.com/office/spreadsheetml/2009/9/main" objectType="Drop" dropStyle="combo" dx="16" fmlaLink="$Q$42" fmlaRange="'Variable Mgmt'!$R$56:$R$58" noThreeD="1" val="0"/>
</file>

<file path=xl/ctrlProps/ctrlProp15.xml><?xml version="1.0" encoding="utf-8"?>
<formControlPr xmlns="http://schemas.microsoft.com/office/spreadsheetml/2009/9/main" objectType="Drop" dropStyle="combo" dx="16" fmlaLink="$Q$43" fmlaRange="'Variable Mgmt'!$R$56:$R$58" noThreeD="1" val="0"/>
</file>

<file path=xl/ctrlProps/ctrlProp16.xml><?xml version="1.0" encoding="utf-8"?>
<formControlPr xmlns="http://schemas.microsoft.com/office/spreadsheetml/2009/9/main" objectType="Drop" dropStyle="combo" dx="16" fmlaLink="$Q$44" fmlaRange="'Variable Mgmt'!$R$56:$R$58" noThreeD="1" val="0"/>
</file>

<file path=xl/ctrlProps/ctrlProp17.xml><?xml version="1.0" encoding="utf-8"?>
<formControlPr xmlns="http://schemas.microsoft.com/office/spreadsheetml/2009/9/main" objectType="Drop" dropStyle="combo" dx="16" fmlaLink="$Q$35" fmlaRange="'Variable Mgmt'!$W$65:$W$68" noThreeD="1" sel="3" val="0"/>
</file>

<file path=xl/ctrlProps/ctrlProp18.xml><?xml version="1.0" encoding="utf-8"?>
<formControlPr xmlns="http://schemas.microsoft.com/office/spreadsheetml/2009/9/main" objectType="Drop" dropStyle="combo" dx="16" fmlaLink="$Q$45" fmlaRange="'Variable Mgmt'!$R$65:$R$71" noThreeD="1" sel="5" val="0"/>
</file>

<file path=xl/ctrlProps/ctrlProp19.xml><?xml version="1.0" encoding="utf-8"?>
<formControlPr xmlns="http://schemas.microsoft.com/office/spreadsheetml/2009/9/main" objectType="Drop" dropStyle="combo" dx="16" fmlaLink="$Q$34" fmlaRange="'Variable Mgmt'!$R$56:$R$58" noThreeD="1" val="0"/>
</file>

<file path=xl/ctrlProps/ctrlProp2.xml><?xml version="1.0" encoding="utf-8"?>
<formControlPr xmlns="http://schemas.microsoft.com/office/spreadsheetml/2009/9/main" objectType="Drop" dropStyle="combo" dx="16" fmlaLink="'Variable Mgmt'!$J$56" fmlaRange="'Variable Mgmt'!$I$54:$I$55" noThreeD="1" sel="2" val="0"/>
</file>

<file path=xl/ctrlProps/ctrlProp20.xml><?xml version="1.0" encoding="utf-8"?>
<formControlPr xmlns="http://schemas.microsoft.com/office/spreadsheetml/2009/9/main" objectType="Drop" dropStyle="combo" dx="16" fmlaLink="$Q$33" fmlaRange="'Variable Mgmt'!$R$56:$R$60" noThreeD="1" sel="5" val="0"/>
</file>

<file path=xl/ctrlProps/ctrlProp21.xml><?xml version="1.0" encoding="utf-8"?>
<formControlPr xmlns="http://schemas.microsoft.com/office/spreadsheetml/2009/9/main" objectType="Drop" dropStyle="combo" dx="16" fmlaLink="$Q$39" fmlaRange="'Variable Mgmt'!$W$65:$W$68" noThreeD="1" val="0"/>
</file>

<file path=xl/ctrlProps/ctrlProp22.xml><?xml version="1.0" encoding="utf-8"?>
<formControlPr xmlns="http://schemas.microsoft.com/office/spreadsheetml/2009/9/main" objectType="Drop" dropLines="2" dropStyle="combo" dx="16" fmlaLink="'Variable Mgmt'!$M$56" fmlaRange="'Variable Mgmt'!$L$54:$L$55" noThreeD="1" val="0"/>
</file>

<file path=xl/ctrlProps/ctrlProp3.xml><?xml version="1.0" encoding="utf-8"?>
<formControlPr xmlns="http://schemas.microsoft.com/office/spreadsheetml/2009/9/main" objectType="Drop" dropLines="2" dropStyle="combo" dx="16" fmlaLink="'Variable Mgmt'!$G$56" fmlaRange="'Variable Mgmt'!$F$54:$F$55" noThreeD="1" val="0"/>
</file>

<file path=xl/ctrlProps/ctrlProp4.xml><?xml version="1.0" encoding="utf-8"?>
<formControlPr xmlns="http://schemas.microsoft.com/office/spreadsheetml/2009/9/main" objectType="Drop" dropLines="10" dropStyle="combo" dx="16" fmlaLink="'Variable Mgmt'!$S$38" fmlaRange="'Variable Mgmt'!$R$28:$R$37" noThreeD="1" sel="6" val="0"/>
</file>

<file path=xl/ctrlProps/ctrlProp5.xml><?xml version="1.0" encoding="utf-8"?>
<formControlPr xmlns="http://schemas.microsoft.com/office/spreadsheetml/2009/9/main" objectType="Drop" dropStyle="combo" dx="16" fmlaLink="'Variable Mgmt'!$G$50" fmlaRange="'Variable Mgmt'!$F$48:$F$49" noThreeD="1" sel="2" val="0"/>
</file>

<file path=xl/ctrlProps/ctrlProp6.xml><?xml version="1.0" encoding="utf-8"?>
<formControlPr xmlns="http://schemas.microsoft.com/office/spreadsheetml/2009/9/main" objectType="Drop" dropLines="10" dropStyle="combo" dx="16" fmlaLink="'Variable Mgmt'!$C$51" fmlaRange="'Variable Mgmt'!$B$48:$B$49" noThreeD="1" val="0"/>
</file>

<file path=xl/ctrlProps/ctrlProp7.xml><?xml version="1.0" encoding="utf-8"?>
<formControlPr xmlns="http://schemas.microsoft.com/office/spreadsheetml/2009/9/main" objectType="Drop" dropStyle="combo" dx="16" fmlaLink="'BOM &amp; Schematic'!$Q$31" fmlaRange="'Variable Mgmt'!$R$56:$R$60" noThreeD="1" sel="5" val="0"/>
</file>

<file path=xl/ctrlProps/ctrlProp8.xml><?xml version="1.0" encoding="utf-8"?>
<formControlPr xmlns="http://schemas.microsoft.com/office/spreadsheetml/2009/9/main" objectType="Drop" dropStyle="combo" dx="16" fmlaLink="$Q$32" fmlaRange="'Variable Mgmt'!$R$56:$R$60" noThreeD="1" sel="5" val="0"/>
</file>

<file path=xl/ctrlProps/ctrlProp9.xml><?xml version="1.0" encoding="utf-8"?>
<formControlPr xmlns="http://schemas.microsoft.com/office/spreadsheetml/2009/9/main" objectType="Drop" dropStyle="combo" dx="16" fmlaLink="$Q$36" fmlaRange="'Variable Mgmt'!$W$65:$W$68" noThreeD="1" sel="3" val="0"/>
</file>

<file path=xl/drawings/_rels/drawing1.xml.rels><?xml version="1.0" encoding="UTF-8" standalone="yes"?>
<Relationships xmlns="http://schemas.openxmlformats.org/package/2006/relationships"><Relationship Id="rId8" Type="http://schemas.openxmlformats.org/officeDocument/2006/relationships/image" Target="../media/image5.jpg"/><Relationship Id="rId3" Type="http://schemas.openxmlformats.org/officeDocument/2006/relationships/hyperlink" Target="http://www.ti.com/widevin" TargetMode="External"/><Relationship Id="rId7" Type="http://schemas.openxmlformats.org/officeDocument/2006/relationships/hyperlink" Target="http://www.ti.com/automotive" TargetMode="External"/><Relationship Id="rId2" Type="http://schemas.openxmlformats.org/officeDocument/2006/relationships/image" Target="../media/image2.emf"/><Relationship Id="rId1" Type="http://schemas.openxmlformats.org/officeDocument/2006/relationships/image" Target="../media/image1.emf"/><Relationship Id="rId6" Type="http://schemas.openxmlformats.org/officeDocument/2006/relationships/image" Target="../media/image4.jpg"/><Relationship Id="rId5" Type="http://schemas.openxmlformats.org/officeDocument/2006/relationships/hyperlink" Target="http://www.ti.com/industrial" TargetMode="External"/><Relationship Id="rId4" Type="http://schemas.openxmlformats.org/officeDocument/2006/relationships/image" Target="../media/image3.jpg"/><Relationship Id="rId9" Type="http://schemas.openxmlformats.org/officeDocument/2006/relationships/image" Target="../media/image6.emf"/></Relationships>
</file>

<file path=xl/drawings/_rels/drawing11.xml.rels><?xml version="1.0" encoding="UTF-8" standalone="yes"?>
<Relationships xmlns="http://schemas.openxmlformats.org/package/2006/relationships"><Relationship Id="rId3" Type="http://schemas.openxmlformats.org/officeDocument/2006/relationships/image" Target="../media/image17.emf"/><Relationship Id="rId2" Type="http://schemas.openxmlformats.org/officeDocument/2006/relationships/chart" Target="../charts/chart19.xml"/><Relationship Id="rId1" Type="http://schemas.openxmlformats.org/officeDocument/2006/relationships/chart" Target="../charts/chart18.xml"/></Relationships>
</file>

<file path=xl/drawings/_rels/drawing12.xml.rels><?xml version="1.0" encoding="UTF-8" standalone="yes"?>
<Relationships xmlns="http://schemas.openxmlformats.org/package/2006/relationships"><Relationship Id="rId3" Type="http://schemas.openxmlformats.org/officeDocument/2006/relationships/chart" Target="../charts/chart21.xml"/><Relationship Id="rId2" Type="http://schemas.openxmlformats.org/officeDocument/2006/relationships/chart" Target="../charts/chart20.xml"/><Relationship Id="rId1" Type="http://schemas.openxmlformats.org/officeDocument/2006/relationships/image" Target="../media/image19.emf"/></Relationships>
</file>

<file path=xl/drawings/_rels/drawing13.xml.rels><?xml version="1.0" encoding="UTF-8" standalone="yes"?>
<Relationships xmlns="http://schemas.openxmlformats.org/package/2006/relationships"><Relationship Id="rId8" Type="http://schemas.openxmlformats.org/officeDocument/2006/relationships/image" Target="../media/image28.emf"/><Relationship Id="rId13" Type="http://schemas.openxmlformats.org/officeDocument/2006/relationships/image" Target="../media/image33.emf"/><Relationship Id="rId18" Type="http://schemas.openxmlformats.org/officeDocument/2006/relationships/image" Target="../media/image38.emf"/><Relationship Id="rId3" Type="http://schemas.openxmlformats.org/officeDocument/2006/relationships/image" Target="../media/image23.emf"/><Relationship Id="rId21" Type="http://schemas.openxmlformats.org/officeDocument/2006/relationships/image" Target="../media/image41.emf"/><Relationship Id="rId7" Type="http://schemas.openxmlformats.org/officeDocument/2006/relationships/image" Target="../media/image27.emf"/><Relationship Id="rId12" Type="http://schemas.openxmlformats.org/officeDocument/2006/relationships/image" Target="../media/image32.emf"/><Relationship Id="rId17" Type="http://schemas.openxmlformats.org/officeDocument/2006/relationships/image" Target="../media/image37.emf"/><Relationship Id="rId2" Type="http://schemas.openxmlformats.org/officeDocument/2006/relationships/image" Target="../media/image22.emf"/><Relationship Id="rId16" Type="http://schemas.openxmlformats.org/officeDocument/2006/relationships/image" Target="../media/image36.emf"/><Relationship Id="rId20" Type="http://schemas.openxmlformats.org/officeDocument/2006/relationships/image" Target="../media/image40.emf"/><Relationship Id="rId1" Type="http://schemas.openxmlformats.org/officeDocument/2006/relationships/image" Target="../media/image21.emf"/><Relationship Id="rId6" Type="http://schemas.openxmlformats.org/officeDocument/2006/relationships/image" Target="../media/image26.emf"/><Relationship Id="rId11" Type="http://schemas.openxmlformats.org/officeDocument/2006/relationships/image" Target="../media/image31.emf"/><Relationship Id="rId24" Type="http://schemas.openxmlformats.org/officeDocument/2006/relationships/image" Target="../media/image44.emf"/><Relationship Id="rId5" Type="http://schemas.openxmlformats.org/officeDocument/2006/relationships/image" Target="../media/image25.emf"/><Relationship Id="rId15" Type="http://schemas.openxmlformats.org/officeDocument/2006/relationships/image" Target="../media/image35.emf"/><Relationship Id="rId23" Type="http://schemas.openxmlformats.org/officeDocument/2006/relationships/image" Target="../media/image43.emf"/><Relationship Id="rId10" Type="http://schemas.openxmlformats.org/officeDocument/2006/relationships/image" Target="../media/image30.emf"/><Relationship Id="rId19" Type="http://schemas.openxmlformats.org/officeDocument/2006/relationships/image" Target="../media/image39.emf"/><Relationship Id="rId4" Type="http://schemas.openxmlformats.org/officeDocument/2006/relationships/image" Target="../media/image24.emf"/><Relationship Id="rId9" Type="http://schemas.openxmlformats.org/officeDocument/2006/relationships/image" Target="../media/image29.emf"/><Relationship Id="rId14" Type="http://schemas.openxmlformats.org/officeDocument/2006/relationships/image" Target="../media/image34.emf"/><Relationship Id="rId22" Type="http://schemas.openxmlformats.org/officeDocument/2006/relationships/image" Target="../media/image42.emf"/></Relationships>
</file>

<file path=xl/drawings/_rels/drawing2.xml.rels><?xml version="1.0" encoding="UTF-8" standalone="yes"?>
<Relationships xmlns="http://schemas.openxmlformats.org/package/2006/relationships"><Relationship Id="rId1" Type="http://schemas.openxmlformats.org/officeDocument/2006/relationships/image" Target="../media/image11.emf"/></Relationships>
</file>

<file path=xl/drawings/_rels/drawing3.xml.rels><?xml version="1.0" encoding="UTF-8" standalone="yes"?>
<Relationships xmlns="http://schemas.openxmlformats.org/package/2006/relationships"><Relationship Id="rId2" Type="http://schemas.openxmlformats.org/officeDocument/2006/relationships/image" Target="../media/image14.emf"/><Relationship Id="rId1" Type="http://schemas.openxmlformats.org/officeDocument/2006/relationships/image" Target="../media/image13.emf"/></Relationships>
</file>

<file path=xl/drawings/_rels/drawing5.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6.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chart" Target="../charts/chart7.xml"/><Relationship Id="rId1" Type="http://schemas.openxmlformats.org/officeDocument/2006/relationships/chart" Target="../charts/chart6.xml"/><Relationship Id="rId5" Type="http://schemas.openxmlformats.org/officeDocument/2006/relationships/chart" Target="../charts/chart10.xml"/><Relationship Id="rId4" Type="http://schemas.openxmlformats.org/officeDocument/2006/relationships/chart" Target="../charts/chart9.xml"/></Relationships>
</file>

<file path=xl/drawings/_rels/drawing7.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8.xml.rels><?xml version="1.0" encoding="UTF-8" standalone="yes"?>
<Relationships xmlns="http://schemas.openxmlformats.org/package/2006/relationships"><Relationship Id="rId3" Type="http://schemas.openxmlformats.org/officeDocument/2006/relationships/chart" Target="../charts/chart13.xml"/><Relationship Id="rId7" Type="http://schemas.openxmlformats.org/officeDocument/2006/relationships/chart" Target="../charts/chart17.xml"/><Relationship Id="rId2" Type="http://schemas.openxmlformats.org/officeDocument/2006/relationships/image" Target="../media/image16.png"/><Relationship Id="rId1" Type="http://schemas.openxmlformats.org/officeDocument/2006/relationships/chart" Target="../charts/chart12.xml"/><Relationship Id="rId6" Type="http://schemas.openxmlformats.org/officeDocument/2006/relationships/chart" Target="../charts/chart16.xml"/><Relationship Id="rId5" Type="http://schemas.openxmlformats.org/officeDocument/2006/relationships/chart" Target="../charts/chart15.xml"/><Relationship Id="rId4" Type="http://schemas.openxmlformats.org/officeDocument/2006/relationships/chart" Target="../charts/chart14.xml"/></Relationships>
</file>

<file path=xl/drawings/_rels/vmlDrawing1.vml.rels><?xml version="1.0" encoding="UTF-8" standalone="yes"?>
<Relationships xmlns="http://schemas.openxmlformats.org/package/2006/relationships"><Relationship Id="rId3" Type="http://schemas.openxmlformats.org/officeDocument/2006/relationships/image" Target="../media/image9.emf"/><Relationship Id="rId2" Type="http://schemas.openxmlformats.org/officeDocument/2006/relationships/image" Target="../media/image8.emf"/><Relationship Id="rId1" Type="http://schemas.openxmlformats.org/officeDocument/2006/relationships/image" Target="../media/image7.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10.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2.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15.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18.emf"/></Relationships>
</file>

<file path=xl/drawings/_rels/vmlDrawing7.vml.rels><?xml version="1.0" encoding="UTF-8" standalone="yes"?>
<Relationships xmlns="http://schemas.openxmlformats.org/package/2006/relationships"><Relationship Id="rId1" Type="http://schemas.openxmlformats.org/officeDocument/2006/relationships/image" Target="../media/image20.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17</xdr:col>
          <xdr:colOff>209550</xdr:colOff>
          <xdr:row>24</xdr:row>
          <xdr:rowOff>243409</xdr:rowOff>
        </xdr:from>
        <xdr:to>
          <xdr:col>25</xdr:col>
          <xdr:colOff>1895036</xdr:colOff>
          <xdr:row>45</xdr:row>
          <xdr:rowOff>91228</xdr:rowOff>
        </xdr:to>
        <xdr:pic>
          <xdr:nvPicPr>
            <xdr:cNvPr id="59" name="Picture 8888"/>
            <xdr:cNvPicPr>
              <a:picLocks noChangeAspect="1" noChangeArrowheads="1"/>
              <a:extLst>
                <a:ext uri="{84589F7E-364E-4C9E-8A38-B11213B215E9}">
                  <a14:cameraTool cellRange="PICTURE3" spid="_x0000_s736454"/>
                </a:ext>
              </a:extLst>
            </xdr:cNvPicPr>
          </xdr:nvPicPr>
          <xdr:blipFill>
            <a:blip xmlns:r="http://schemas.openxmlformats.org/officeDocument/2006/relationships" r:embed="rId1"/>
            <a:srcRect/>
            <a:stretch>
              <a:fillRect/>
            </a:stretch>
          </xdr:blipFill>
          <xdr:spPr bwMode="auto">
            <a:xfrm>
              <a:off x="10701704" y="5408890"/>
              <a:ext cx="6675120" cy="4090107"/>
            </a:xfrm>
            <a:prstGeom prst="rect">
              <a:avLst/>
            </a:prstGeom>
            <a:noFill/>
            <a:ln w="15875">
              <a:noFill/>
              <a:miter lim="800000"/>
              <a:headEnd/>
              <a:tailEnd/>
            </a:ln>
            <a:extLst>
              <a:ext uri="{909E8E84-426E-40DD-AFC4-6F175D3DCCD1}">
                <a14:hiddenFill>
                  <a:solidFill>
                    <a:srgbClr val="FFFFFF" mc:Ignorable="a14" a14:legacySpreadsheetColorIndex="65"/>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305021</xdr:colOff>
          <xdr:row>4</xdr:row>
          <xdr:rowOff>103292</xdr:rowOff>
        </xdr:from>
        <xdr:to>
          <xdr:col>25</xdr:col>
          <xdr:colOff>46264</xdr:colOff>
          <xdr:row>24</xdr:row>
          <xdr:rowOff>212257</xdr:rowOff>
        </xdr:to>
        <xdr:pic>
          <xdr:nvPicPr>
            <xdr:cNvPr id="45" name="Picture 8888"/>
            <xdr:cNvPicPr>
              <a:picLocks noChangeAspect="1" noChangeArrowheads="1"/>
              <a:extLst>
                <a:ext uri="{84589F7E-364E-4C9E-8A38-B11213B215E9}">
                  <a14:cameraTool cellRange="PICTURE1" spid="_x0000_s736455"/>
                </a:ext>
              </a:extLst>
            </xdr:cNvPicPr>
          </xdr:nvPicPr>
          <xdr:blipFill>
            <a:blip xmlns:r="http://schemas.openxmlformats.org/officeDocument/2006/relationships" r:embed="rId2"/>
            <a:srcRect/>
            <a:stretch>
              <a:fillRect/>
            </a:stretch>
          </xdr:blipFill>
          <xdr:spPr bwMode="auto">
            <a:xfrm>
              <a:off x="8239346" y="1246292"/>
              <a:ext cx="7313618" cy="4166615"/>
            </a:xfrm>
            <a:prstGeom prst="rect">
              <a:avLst/>
            </a:prstGeom>
            <a:noFill/>
            <a:ln w="15875">
              <a:noFill/>
              <a:miter lim="800000"/>
              <a:headEnd/>
              <a:tailEnd/>
            </a:ln>
            <a:extLst>
              <a:ext uri="{909E8E84-426E-40DD-AFC4-6F175D3DCCD1}">
                <a14:hiddenFill>
                  <a:solidFill>
                    <a:srgbClr val="FFFFFF" mc:Ignorable="a14" a14:legacySpreadsheetColorIndex="65"/>
                  </a:solidFill>
                </a14:hiddenFill>
              </a:ext>
            </a:extLst>
          </xdr:spPr>
        </xdr:pic>
        <xdr:clientData/>
      </xdr:twoCellAnchor>
    </mc:Choice>
    <mc:Fallback/>
  </mc:AlternateContent>
  <xdr:twoCellAnchor>
    <xdr:from>
      <xdr:col>14</xdr:col>
      <xdr:colOff>381978</xdr:colOff>
      <xdr:row>11</xdr:row>
      <xdr:rowOff>72357</xdr:rowOff>
    </xdr:from>
    <xdr:to>
      <xdr:col>15</xdr:col>
      <xdr:colOff>99301</xdr:colOff>
      <xdr:row>12</xdr:row>
      <xdr:rowOff>95485</xdr:rowOff>
    </xdr:to>
    <xdr:sp macro="" textlink="">
      <xdr:nvSpPr>
        <xdr:cNvPr id="2292" name="Text Box 244"/>
        <xdr:cNvSpPr txBox="1">
          <a:spLocks noChangeArrowheads="1"/>
        </xdr:cNvSpPr>
      </xdr:nvSpPr>
      <xdr:spPr bwMode="auto">
        <a:xfrm>
          <a:off x="8925903" y="2644107"/>
          <a:ext cx="326923" cy="223153"/>
        </a:xfrm>
        <a:prstGeom prst="rect">
          <a:avLst/>
        </a:prstGeom>
        <a:noFill/>
        <a:ln w="9525">
          <a:noFill/>
          <a:miter lim="800000"/>
          <a:headEnd/>
          <a:tailEnd/>
        </a:ln>
      </xdr:spPr>
      <xdr:txBody>
        <a:bodyPr vertOverflow="clip" wrap="square" lIns="27432" tIns="27432" rIns="0" bIns="0" anchor="t" upright="1"/>
        <a:lstStyle/>
        <a:p>
          <a:pPr algn="l" rtl="0">
            <a:defRPr sz="1000"/>
          </a:pPr>
          <a:r>
            <a:rPr lang="en-US" sz="1100" b="0" i="0" strike="noStrike">
              <a:solidFill>
                <a:srgbClr val="000000"/>
              </a:solidFill>
              <a:latin typeface="Arial" pitchFamily="34" charset="0"/>
              <a:cs typeface="Arial" pitchFamily="34" charset="0"/>
            </a:rPr>
            <a:t>C</a:t>
          </a:r>
          <a:r>
            <a:rPr lang="en-US" sz="1100" b="0" i="0" strike="noStrike" baseline="-25000">
              <a:solidFill>
                <a:srgbClr val="000000"/>
              </a:solidFill>
              <a:latin typeface="Arial" pitchFamily="34" charset="0"/>
              <a:cs typeface="Arial" pitchFamily="34" charset="0"/>
            </a:rPr>
            <a:t>IN</a:t>
          </a:r>
        </a:p>
      </xdr:txBody>
    </xdr:sp>
    <xdr:clientData/>
  </xdr:twoCellAnchor>
  <xdr:twoCellAnchor>
    <xdr:from>
      <xdr:col>23</xdr:col>
      <xdr:colOff>132557</xdr:colOff>
      <xdr:row>9</xdr:row>
      <xdr:rowOff>152400</xdr:rowOff>
    </xdr:from>
    <xdr:to>
      <xdr:col>24</xdr:col>
      <xdr:colOff>16035</xdr:colOff>
      <xdr:row>10</xdr:row>
      <xdr:rowOff>152762</xdr:rowOff>
    </xdr:to>
    <xdr:sp macro="" textlink="'Variable Mgmt'!B213">
      <xdr:nvSpPr>
        <xdr:cNvPr id="2315" name="Text Box 267"/>
        <xdr:cNvSpPr txBox="1">
          <a:spLocks noChangeArrowheads="1" noTextEdit="1"/>
        </xdr:cNvSpPr>
      </xdr:nvSpPr>
      <xdr:spPr bwMode="auto">
        <a:xfrm>
          <a:off x="14420057" y="2324100"/>
          <a:ext cx="493078" cy="200387"/>
        </a:xfrm>
        <a:prstGeom prst="rect">
          <a:avLst/>
        </a:prstGeom>
        <a:noFill/>
        <a:ln w="9525">
          <a:noFill/>
          <a:miter lim="800000"/>
          <a:headEnd/>
          <a:tailEnd/>
        </a:ln>
      </xdr:spPr>
      <xdr:txBody>
        <a:bodyPr vertOverflow="clip" wrap="square" lIns="27432" tIns="22860" rIns="0" bIns="0" anchor="ctr" upright="1"/>
        <a:lstStyle/>
        <a:p>
          <a:pPr algn="l" rtl="0">
            <a:defRPr sz="1000"/>
          </a:pPr>
          <a:fld id="{DEF62FD0-959B-4627-B7E8-61CA1688D174}" type="TxLink">
            <a:rPr lang="en-US" sz="1100" b="0" i="0" u="none" strike="noStrike" baseline="0">
              <a:solidFill>
                <a:srgbClr val="000000"/>
              </a:solidFill>
              <a:latin typeface="Arial" pitchFamily="34" charset="0"/>
              <a:cs typeface="Arial" pitchFamily="34" charset="0"/>
            </a:rPr>
            <a:pPr algn="l" rtl="0">
              <a:defRPr sz="1000"/>
            </a:pPr>
            <a:t>47µF</a:t>
          </a:fld>
          <a:endParaRPr lang="en-US" sz="1100" b="0" i="0" u="none" strike="noStrike" baseline="0">
            <a:solidFill>
              <a:srgbClr val="000000"/>
            </a:solidFill>
            <a:latin typeface="Arial" pitchFamily="34" charset="0"/>
            <a:cs typeface="Arial" pitchFamily="34" charset="0"/>
          </a:endParaRPr>
        </a:p>
      </xdr:txBody>
    </xdr:sp>
    <xdr:clientData/>
  </xdr:twoCellAnchor>
  <xdr:twoCellAnchor>
    <xdr:from>
      <xdr:col>20</xdr:col>
      <xdr:colOff>471028</xdr:colOff>
      <xdr:row>11</xdr:row>
      <xdr:rowOff>166894</xdr:rowOff>
    </xdr:from>
    <xdr:to>
      <xdr:col>21</xdr:col>
      <xdr:colOff>310312</xdr:colOff>
      <xdr:row>13</xdr:row>
      <xdr:rowOff>15767</xdr:rowOff>
    </xdr:to>
    <xdr:sp macro="" textlink="'Variable Mgmt'!B199">
      <xdr:nvSpPr>
        <xdr:cNvPr id="2323" name="Text Box 275"/>
        <xdr:cNvSpPr txBox="1">
          <a:spLocks noChangeArrowheads="1" noTextEdit="1"/>
        </xdr:cNvSpPr>
      </xdr:nvSpPr>
      <xdr:spPr bwMode="auto">
        <a:xfrm>
          <a:off x="12929728" y="2738644"/>
          <a:ext cx="448884" cy="248923"/>
        </a:xfrm>
        <a:prstGeom prst="rect">
          <a:avLst/>
        </a:prstGeom>
        <a:noFill/>
        <a:ln w="9525">
          <a:noFill/>
          <a:miter lim="800000"/>
          <a:headEnd/>
          <a:tailEnd/>
        </a:ln>
      </xdr:spPr>
      <xdr:txBody>
        <a:bodyPr vertOverflow="clip" wrap="square" lIns="27432" tIns="22860" rIns="0" bIns="0" anchor="ctr" upright="1"/>
        <a:lstStyle/>
        <a:p>
          <a:pPr algn="ctr" rtl="0">
            <a:defRPr sz="1000"/>
          </a:pPr>
          <a:fld id="{08583DE7-3129-476B-98BE-2887A134E956}" type="TxLink">
            <a:rPr lang="en-US" sz="1050" b="0" i="0" u="none" strike="noStrike" baseline="0">
              <a:solidFill>
                <a:srgbClr val="000000"/>
              </a:solidFill>
              <a:latin typeface="Arial" pitchFamily="34" charset="0"/>
              <a:cs typeface="Arial" pitchFamily="34" charset="0"/>
            </a:rPr>
            <a:pPr algn="ctr" rtl="0">
              <a:defRPr sz="1000"/>
            </a:pPr>
            <a:t>40µH</a:t>
          </a:fld>
          <a:endParaRPr lang="en-US" sz="1050" b="0" i="0" u="none" strike="noStrike" baseline="0">
            <a:solidFill>
              <a:srgbClr val="000000"/>
            </a:solidFill>
            <a:latin typeface="Arial" pitchFamily="34" charset="0"/>
            <a:cs typeface="Arial" pitchFamily="34" charset="0"/>
          </a:endParaRPr>
        </a:p>
      </xdr:txBody>
    </xdr:sp>
    <xdr:clientData/>
  </xdr:twoCellAnchor>
  <xdr:twoCellAnchor>
    <xdr:from>
      <xdr:col>14</xdr:col>
      <xdr:colOff>291064</xdr:colOff>
      <xdr:row>12</xdr:row>
      <xdr:rowOff>96249</xdr:rowOff>
    </xdr:from>
    <xdr:to>
      <xdr:col>15</xdr:col>
      <xdr:colOff>155296</xdr:colOff>
      <xdr:row>13</xdr:row>
      <xdr:rowOff>88852</xdr:rowOff>
    </xdr:to>
    <xdr:sp macro="" textlink="'Variable Mgmt'!B218">
      <xdr:nvSpPr>
        <xdr:cNvPr id="2324" name="Text Box 276"/>
        <xdr:cNvSpPr txBox="1">
          <a:spLocks noChangeArrowheads="1" noTextEdit="1"/>
        </xdr:cNvSpPr>
      </xdr:nvSpPr>
      <xdr:spPr bwMode="auto">
        <a:xfrm>
          <a:off x="8834989" y="2868024"/>
          <a:ext cx="473832" cy="192628"/>
        </a:xfrm>
        <a:prstGeom prst="rect">
          <a:avLst/>
        </a:prstGeom>
        <a:noFill/>
        <a:ln w="9525">
          <a:noFill/>
          <a:miter lim="800000"/>
          <a:headEnd/>
          <a:tailEnd/>
        </a:ln>
      </xdr:spPr>
      <xdr:txBody>
        <a:bodyPr vertOverflow="clip" wrap="square" lIns="27432" tIns="22860" rIns="0" bIns="0" anchor="ctr" upright="1"/>
        <a:lstStyle/>
        <a:p>
          <a:pPr algn="ctr" rtl="0">
            <a:defRPr sz="1000"/>
          </a:pPr>
          <a:fld id="{7E8F3901-1453-4951-8E28-510E65401D4C}" type="TxLink">
            <a:rPr lang="en-US" sz="1100" b="0" i="0" u="none" strike="noStrike" baseline="0">
              <a:solidFill>
                <a:srgbClr val="000000"/>
              </a:solidFill>
              <a:latin typeface="Arial" pitchFamily="34" charset="0"/>
              <a:cs typeface="Arial" pitchFamily="34" charset="0"/>
            </a:rPr>
            <a:pPr algn="ctr" rtl="0">
              <a:defRPr sz="1000"/>
            </a:pPr>
            <a:t>47µF</a:t>
          </a:fld>
          <a:endParaRPr lang="en-US" sz="1100" b="0" i="0" u="none" strike="noStrike" baseline="0">
            <a:solidFill>
              <a:srgbClr val="000000"/>
            </a:solidFill>
            <a:latin typeface="Arial" pitchFamily="34" charset="0"/>
            <a:cs typeface="Arial" pitchFamily="34" charset="0"/>
          </a:endParaRPr>
        </a:p>
      </xdr:txBody>
    </xdr:sp>
    <xdr:clientData/>
  </xdr:twoCellAnchor>
  <xdr:twoCellAnchor>
    <xdr:from>
      <xdr:col>15</xdr:col>
      <xdr:colOff>240362</xdr:colOff>
      <xdr:row>21</xdr:row>
      <xdr:rowOff>19528</xdr:rowOff>
    </xdr:from>
    <xdr:to>
      <xdr:col>16</xdr:col>
      <xdr:colOff>8055</xdr:colOff>
      <xdr:row>22</xdr:row>
      <xdr:rowOff>97673</xdr:rowOff>
    </xdr:to>
    <xdr:sp macro="" textlink="'Variable Mgmt'!D245">
      <xdr:nvSpPr>
        <xdr:cNvPr id="2329" name="Text Box 281"/>
        <xdr:cNvSpPr txBox="1">
          <a:spLocks noChangeArrowheads="1" noTextEdit="1"/>
        </xdr:cNvSpPr>
      </xdr:nvSpPr>
      <xdr:spPr bwMode="auto">
        <a:xfrm>
          <a:off x="9393887" y="4639153"/>
          <a:ext cx="443968" cy="287695"/>
        </a:xfrm>
        <a:prstGeom prst="rect">
          <a:avLst/>
        </a:prstGeom>
        <a:noFill/>
        <a:ln w="9525">
          <a:noFill/>
          <a:miter lim="800000"/>
          <a:headEnd/>
          <a:tailEnd/>
        </a:ln>
      </xdr:spPr>
      <xdr:txBody>
        <a:bodyPr vertOverflow="clip" wrap="square" lIns="27432" tIns="22860" rIns="0" bIns="0" anchor="ctr" upright="1"/>
        <a:lstStyle/>
        <a:p>
          <a:pPr algn="ctr" rtl="0">
            <a:defRPr sz="1000"/>
          </a:pPr>
          <a:fld id="{F2115F91-8BFD-4C9B-9969-8B2C04ADF4C5}" type="TxLink">
            <a:rPr lang="en-US" sz="1100" b="0" i="0" u="none" strike="noStrike">
              <a:solidFill>
                <a:srgbClr val="000000"/>
              </a:solidFill>
              <a:latin typeface="Arial"/>
              <a:cs typeface="Arial"/>
            </a:rPr>
            <a:pPr algn="ctr" rtl="0">
              <a:defRPr sz="1000"/>
            </a:pPr>
            <a:t> </a:t>
          </a:fld>
          <a:endParaRPr lang="en-US" sz="1100" b="0" i="0" strike="noStrike">
            <a:solidFill>
              <a:srgbClr val="000000"/>
            </a:solidFill>
            <a:latin typeface="Arial" pitchFamily="34" charset="0"/>
            <a:cs typeface="Arial" pitchFamily="34" charset="0"/>
          </a:endParaRPr>
        </a:p>
      </xdr:txBody>
    </xdr:sp>
    <xdr:clientData/>
  </xdr:twoCellAnchor>
  <xdr:twoCellAnchor>
    <xdr:from>
      <xdr:col>13</xdr:col>
      <xdr:colOff>383720</xdr:colOff>
      <xdr:row>6</xdr:row>
      <xdr:rowOff>10907</xdr:rowOff>
    </xdr:from>
    <xdr:to>
      <xdr:col>14</xdr:col>
      <xdr:colOff>285286</xdr:colOff>
      <xdr:row>8</xdr:row>
      <xdr:rowOff>95545</xdr:rowOff>
    </xdr:to>
    <xdr:sp macro="" textlink="'Variable Mgmt'!B205">
      <xdr:nvSpPr>
        <xdr:cNvPr id="2331" name="Text Box 283"/>
        <xdr:cNvSpPr txBox="1">
          <a:spLocks noChangeArrowheads="1" noTextEdit="1"/>
        </xdr:cNvSpPr>
      </xdr:nvSpPr>
      <xdr:spPr bwMode="auto">
        <a:xfrm>
          <a:off x="8318045" y="1601582"/>
          <a:ext cx="511166" cy="465638"/>
        </a:xfrm>
        <a:prstGeom prst="rect">
          <a:avLst/>
        </a:prstGeom>
        <a:noFill/>
        <a:ln w="9525">
          <a:noFill/>
          <a:miter lim="800000"/>
          <a:headEnd/>
          <a:tailEnd/>
        </a:ln>
      </xdr:spPr>
      <xdr:txBody>
        <a:bodyPr vertOverflow="clip" wrap="square" lIns="27432" tIns="22860" rIns="0" bIns="0" anchor="ctr" upright="1"/>
        <a:lstStyle/>
        <a:p>
          <a:pPr algn="r" rtl="0">
            <a:defRPr sz="1000"/>
          </a:pPr>
          <a:fld id="{211B0151-B00E-493E-8C8F-6E492416D93B}" type="TxLink">
            <a:rPr lang="en-US" sz="1400" b="1" i="0" u="none" strike="noStrike">
              <a:solidFill>
                <a:srgbClr val="FF0000"/>
              </a:solidFill>
              <a:latin typeface="Arial" pitchFamily="34" charset="0"/>
              <a:cs typeface="Arial" pitchFamily="34" charset="0"/>
            </a:rPr>
            <a:pPr algn="r" rtl="0">
              <a:defRPr sz="1000"/>
            </a:pPr>
            <a:t>12V</a:t>
          </a:fld>
          <a:endParaRPr lang="en-US" sz="1400" b="1" i="0" strike="noStrike">
            <a:solidFill>
              <a:srgbClr val="FF0000"/>
            </a:solidFill>
            <a:latin typeface="Arial" pitchFamily="34" charset="0"/>
            <a:cs typeface="Arial" pitchFamily="34" charset="0"/>
          </a:endParaRPr>
        </a:p>
      </xdr:txBody>
    </xdr:sp>
    <xdr:clientData/>
  </xdr:twoCellAnchor>
  <xdr:twoCellAnchor>
    <xdr:from>
      <xdr:col>24</xdr:col>
      <xdr:colOff>19339</xdr:colOff>
      <xdr:row>6</xdr:row>
      <xdr:rowOff>57503</xdr:rowOff>
    </xdr:from>
    <xdr:to>
      <xdr:col>25</xdr:col>
      <xdr:colOff>74772</xdr:colOff>
      <xdr:row>8</xdr:row>
      <xdr:rowOff>34017</xdr:rowOff>
    </xdr:to>
    <xdr:sp macro="" textlink="'Variable Mgmt'!B208">
      <xdr:nvSpPr>
        <xdr:cNvPr id="2333" name="Text Box 285"/>
        <xdr:cNvSpPr txBox="1">
          <a:spLocks noChangeArrowheads="1" noTextEdit="1"/>
        </xdr:cNvSpPr>
      </xdr:nvSpPr>
      <xdr:spPr bwMode="auto">
        <a:xfrm>
          <a:off x="14916439" y="1648178"/>
          <a:ext cx="665033" cy="357514"/>
        </a:xfrm>
        <a:prstGeom prst="rect">
          <a:avLst/>
        </a:prstGeom>
        <a:noFill/>
        <a:ln w="9525">
          <a:noFill/>
          <a:miter lim="800000"/>
          <a:headEnd/>
          <a:tailEnd/>
        </a:ln>
      </xdr:spPr>
      <xdr:txBody>
        <a:bodyPr vertOverflow="clip" wrap="square" lIns="27432" tIns="22860" rIns="0" bIns="0" anchor="ctr" upright="1"/>
        <a:lstStyle/>
        <a:p>
          <a:pPr algn="l" rtl="0">
            <a:defRPr sz="1000"/>
          </a:pPr>
          <a:fld id="{702C2B8A-7C4B-4FDB-B229-3170089D9686}" type="TxLink">
            <a:rPr lang="en-US" sz="1400" b="1" i="0" u="none" strike="noStrike" baseline="0">
              <a:solidFill>
                <a:srgbClr val="FF0000"/>
              </a:solidFill>
              <a:latin typeface="Arial" pitchFamily="34" charset="0"/>
              <a:cs typeface="Arial" pitchFamily="34" charset="0"/>
            </a:rPr>
            <a:pPr algn="l" rtl="0">
              <a:defRPr sz="1000"/>
            </a:pPr>
            <a:t>15V</a:t>
          </a:fld>
          <a:endParaRPr lang="en-US" sz="1400" b="1" i="0" u="none" strike="noStrike" baseline="0">
            <a:solidFill>
              <a:srgbClr val="FF0000"/>
            </a:solidFill>
            <a:latin typeface="Arial" pitchFamily="34" charset="0"/>
            <a:cs typeface="Arial" pitchFamily="34" charset="0"/>
          </a:endParaRPr>
        </a:p>
      </xdr:txBody>
    </xdr:sp>
    <xdr:clientData/>
  </xdr:twoCellAnchor>
  <xdr:twoCellAnchor>
    <xdr:from>
      <xdr:col>23</xdr:col>
      <xdr:colOff>514350</xdr:colOff>
      <xdr:row>7</xdr:row>
      <xdr:rowOff>153310</xdr:rowOff>
    </xdr:from>
    <xdr:to>
      <xdr:col>24</xdr:col>
      <xdr:colOff>455838</xdr:colOff>
      <xdr:row>9</xdr:row>
      <xdr:rowOff>64353</xdr:rowOff>
    </xdr:to>
    <xdr:sp macro="" textlink="'Variable Mgmt'!B263">
      <xdr:nvSpPr>
        <xdr:cNvPr id="2334" name="Text Box 286"/>
        <xdr:cNvSpPr txBox="1">
          <a:spLocks noChangeArrowheads="1" noTextEdit="1"/>
        </xdr:cNvSpPr>
      </xdr:nvSpPr>
      <xdr:spPr bwMode="auto">
        <a:xfrm>
          <a:off x="14801850" y="1924960"/>
          <a:ext cx="551088" cy="311093"/>
        </a:xfrm>
        <a:prstGeom prst="rect">
          <a:avLst/>
        </a:prstGeom>
        <a:noFill/>
        <a:ln w="9525">
          <a:noFill/>
          <a:miter lim="800000"/>
          <a:headEnd/>
          <a:tailEnd/>
        </a:ln>
      </xdr:spPr>
      <xdr:txBody>
        <a:bodyPr vertOverflow="clip" wrap="square" lIns="27432" tIns="22860" rIns="0" bIns="0" anchor="ctr" upright="1"/>
        <a:lstStyle/>
        <a:p>
          <a:pPr algn="ctr" rtl="0">
            <a:defRPr sz="1000"/>
          </a:pPr>
          <a:fld id="{E0FB88FA-F39E-4ACF-AB5E-DCB628763AAE}" type="TxLink">
            <a:rPr lang="en-US" sz="1350" b="1" i="0" u="none" strike="noStrike">
              <a:solidFill>
                <a:srgbClr val="FF0000"/>
              </a:solidFill>
              <a:latin typeface="Arial" pitchFamily="34" charset="0"/>
              <a:cs typeface="Arial" pitchFamily="34" charset="0"/>
            </a:rPr>
            <a:pPr algn="ctr" rtl="0">
              <a:defRPr sz="1000"/>
            </a:pPr>
            <a:t>0.3A</a:t>
          </a:fld>
          <a:endParaRPr lang="en-US" sz="1350" b="1" i="0" strike="noStrike">
            <a:solidFill>
              <a:srgbClr val="FF0000"/>
            </a:solidFill>
            <a:latin typeface="Arial" pitchFamily="34" charset="0"/>
            <a:cs typeface="Arial" pitchFamily="34" charset="0"/>
          </a:endParaRPr>
        </a:p>
      </xdr:txBody>
    </xdr:sp>
    <xdr:clientData/>
  </xdr:twoCellAnchor>
  <mc:AlternateContent xmlns:mc="http://schemas.openxmlformats.org/markup-compatibility/2006">
    <mc:Choice xmlns:a14="http://schemas.microsoft.com/office/drawing/2010/main" Requires="a14">
      <xdr:twoCellAnchor>
        <xdr:from>
          <xdr:col>5</xdr:col>
          <xdr:colOff>123825</xdr:colOff>
          <xdr:row>6</xdr:row>
          <xdr:rowOff>9525</xdr:rowOff>
        </xdr:from>
        <xdr:to>
          <xdr:col>5</xdr:col>
          <xdr:colOff>304800</xdr:colOff>
          <xdr:row>7</xdr:row>
          <xdr:rowOff>28575</xdr:rowOff>
        </xdr:to>
        <xdr:sp macro="" textlink="">
          <xdr:nvSpPr>
            <xdr:cNvPr id="672895" name="Spinner 127" hidden="1">
              <a:extLst>
                <a:ext uri="{63B3BB69-23CF-44E3-9099-C40C66FF867C}">
                  <a14:compatExt spid="_x0000_s672895"/>
                </a:ext>
              </a:extLst>
            </xdr:cNvPr>
            <xdr:cNvSpPr/>
          </xdr:nvSpPr>
          <xdr:spPr>
            <a:xfrm>
              <a:off x="0" y="0"/>
              <a:ext cx="0" cy="0"/>
            </a:xfrm>
            <a:prstGeom prst="rect">
              <a:avLst/>
            </a:prstGeom>
          </xdr:spPr>
        </xdr:sp>
        <xdr:clientData/>
      </xdr:twoCellAnchor>
    </mc:Choice>
    <mc:Fallback/>
  </mc:AlternateContent>
  <xdr:twoCellAnchor>
    <xdr:from>
      <xdr:col>15</xdr:col>
      <xdr:colOff>335079</xdr:colOff>
      <xdr:row>10</xdr:row>
      <xdr:rowOff>32564</xdr:rowOff>
    </xdr:from>
    <xdr:to>
      <xdr:col>16</xdr:col>
      <xdr:colOff>183502</xdr:colOff>
      <xdr:row>11</xdr:row>
      <xdr:rowOff>77904</xdr:rowOff>
    </xdr:to>
    <xdr:sp macro="" textlink="'Variable Mgmt'!C237">
      <xdr:nvSpPr>
        <xdr:cNvPr id="71" name="Text Box 268"/>
        <xdr:cNvSpPr txBox="1">
          <a:spLocks noChangeArrowheads="1" noTextEdit="1"/>
        </xdr:cNvSpPr>
      </xdr:nvSpPr>
      <xdr:spPr bwMode="auto">
        <a:xfrm>
          <a:off x="9488604" y="2404289"/>
          <a:ext cx="524698" cy="245365"/>
        </a:xfrm>
        <a:prstGeom prst="rect">
          <a:avLst/>
        </a:prstGeom>
        <a:noFill/>
        <a:ln w="9525">
          <a:noFill/>
          <a:miter lim="800000"/>
          <a:headEnd/>
          <a:tailEnd/>
        </a:ln>
      </xdr:spPr>
      <xdr:txBody>
        <a:bodyPr vertOverflow="clip" wrap="square" lIns="27432" tIns="22860" rIns="0" bIns="0" anchor="ctr" upright="1"/>
        <a:lstStyle/>
        <a:p>
          <a:pPr algn="l" rtl="0">
            <a:defRPr sz="1000"/>
          </a:pPr>
          <a:fld id="{9F0ED324-D4DC-458E-AFDF-B2BC6995B894}" type="TxLink">
            <a:rPr lang="en-US" sz="1000" b="0" i="0" u="none" strike="noStrike">
              <a:solidFill>
                <a:srgbClr val="000000"/>
              </a:solidFill>
              <a:latin typeface="Arial"/>
              <a:cs typeface="Arial"/>
            </a:rPr>
            <a:pPr algn="l" rtl="0">
              <a:defRPr sz="1000"/>
            </a:pPr>
            <a:t>56.2kΩ</a:t>
          </a:fld>
          <a:endParaRPr lang="el-GR" sz="1000" b="0" i="0" strike="noStrike">
            <a:solidFill>
              <a:srgbClr val="000000"/>
            </a:solidFill>
            <a:latin typeface="Arial" pitchFamily="34" charset="0"/>
            <a:cs typeface="Arial" pitchFamily="34" charset="0"/>
          </a:endParaRPr>
        </a:p>
      </xdr:txBody>
    </xdr:sp>
    <xdr:clientData/>
  </xdr:twoCellAnchor>
  <xdr:twoCellAnchor>
    <xdr:from>
      <xdr:col>15</xdr:col>
      <xdr:colOff>316029</xdr:colOff>
      <xdr:row>14</xdr:row>
      <xdr:rowOff>215084</xdr:rowOff>
    </xdr:from>
    <xdr:to>
      <xdr:col>16</xdr:col>
      <xdr:colOff>164452</xdr:colOff>
      <xdr:row>15</xdr:row>
      <xdr:rowOff>176021</xdr:rowOff>
    </xdr:to>
    <xdr:sp macro="" textlink="'Variable Mgmt'!C238">
      <xdr:nvSpPr>
        <xdr:cNvPr id="73" name="Text Box 268"/>
        <xdr:cNvSpPr txBox="1">
          <a:spLocks noChangeArrowheads="1" noTextEdit="1"/>
        </xdr:cNvSpPr>
      </xdr:nvSpPr>
      <xdr:spPr bwMode="auto">
        <a:xfrm>
          <a:off x="9469554" y="3386909"/>
          <a:ext cx="524698" cy="208587"/>
        </a:xfrm>
        <a:prstGeom prst="rect">
          <a:avLst/>
        </a:prstGeom>
        <a:noFill/>
        <a:ln w="9525">
          <a:noFill/>
          <a:miter lim="800000"/>
          <a:headEnd/>
          <a:tailEnd/>
        </a:ln>
      </xdr:spPr>
      <xdr:txBody>
        <a:bodyPr vertOverflow="clip" wrap="square" lIns="27432" tIns="22860" rIns="0" bIns="0" anchor="ctr" upright="1"/>
        <a:lstStyle/>
        <a:p>
          <a:pPr algn="l" rtl="0">
            <a:defRPr sz="1000"/>
          </a:pPr>
          <a:fld id="{34FF5C9F-E605-45FC-B7D1-F0CC0D61FE72}" type="TxLink">
            <a:rPr lang="en-US" sz="1000" b="0" i="0" u="none" strike="noStrike">
              <a:solidFill>
                <a:srgbClr val="000000"/>
              </a:solidFill>
              <a:latin typeface="Arial"/>
              <a:cs typeface="Arial"/>
            </a:rPr>
            <a:pPr algn="l" rtl="0">
              <a:defRPr sz="1000"/>
            </a:pPr>
            <a:t>16.9kΩ</a:t>
          </a:fld>
          <a:endParaRPr lang="el-GR" sz="1000" b="0" i="0" strike="noStrike">
            <a:solidFill>
              <a:srgbClr val="000000"/>
            </a:solidFill>
            <a:latin typeface="Arial" pitchFamily="34" charset="0"/>
            <a:cs typeface="Arial" pitchFamily="34" charset="0"/>
          </a:endParaRPr>
        </a:p>
      </xdr:txBody>
    </xdr:sp>
    <xdr:clientData/>
  </xdr:twoCellAnchor>
  <xdr:twoCellAnchor>
    <xdr:from>
      <xdr:col>19</xdr:col>
      <xdr:colOff>325713</xdr:colOff>
      <xdr:row>15</xdr:row>
      <xdr:rowOff>30701</xdr:rowOff>
    </xdr:from>
    <xdr:to>
      <xdr:col>20</xdr:col>
      <xdr:colOff>235357</xdr:colOff>
      <xdr:row>16</xdr:row>
      <xdr:rowOff>65648</xdr:rowOff>
    </xdr:to>
    <xdr:sp macro="" textlink="'Variable Mgmt'!C227">
      <xdr:nvSpPr>
        <xdr:cNvPr id="89" name="Text Box 268"/>
        <xdr:cNvSpPr txBox="1">
          <a:spLocks noChangeArrowheads="1" noTextEdit="1"/>
        </xdr:cNvSpPr>
      </xdr:nvSpPr>
      <xdr:spPr bwMode="auto">
        <a:xfrm>
          <a:off x="12174813" y="3450176"/>
          <a:ext cx="519244" cy="234972"/>
        </a:xfrm>
        <a:prstGeom prst="rect">
          <a:avLst/>
        </a:prstGeom>
        <a:noFill/>
        <a:ln w="9525">
          <a:noFill/>
          <a:miter lim="800000"/>
          <a:headEnd/>
          <a:tailEnd/>
        </a:ln>
      </xdr:spPr>
      <xdr:txBody>
        <a:bodyPr vertOverflow="clip" wrap="square" lIns="27432" tIns="22860" rIns="0" bIns="0" anchor="ctr" upright="1"/>
        <a:lstStyle/>
        <a:p>
          <a:pPr algn="l" rtl="0">
            <a:defRPr sz="1000"/>
          </a:pPr>
          <a:fld id="{748954DB-E280-498C-BC91-9439B9EC7524}" type="TxLink">
            <a:rPr lang="en-US" sz="1100" b="0" i="0" u="none" strike="noStrike">
              <a:solidFill>
                <a:srgbClr val="000000"/>
              </a:solidFill>
              <a:latin typeface="Arial"/>
              <a:cs typeface="Arial"/>
            </a:rPr>
            <a:pPr algn="l" rtl="0">
              <a:defRPr sz="1000"/>
            </a:pPr>
            <a:t>457.5kΩ</a:t>
          </a:fld>
          <a:endParaRPr lang="el-GR" sz="1800" b="0" i="0" strike="noStrike">
            <a:solidFill>
              <a:srgbClr val="000000"/>
            </a:solidFill>
            <a:latin typeface="Arial" pitchFamily="34" charset="0"/>
            <a:cs typeface="Arial" pitchFamily="34" charset="0"/>
          </a:endParaRPr>
        </a:p>
      </xdr:txBody>
    </xdr:sp>
    <xdr:clientData/>
  </xdr:twoCellAnchor>
  <xdr:twoCellAnchor>
    <xdr:from>
      <xdr:col>20</xdr:col>
      <xdr:colOff>366817</xdr:colOff>
      <xdr:row>20</xdr:row>
      <xdr:rowOff>42569</xdr:rowOff>
    </xdr:from>
    <xdr:to>
      <xdr:col>21</xdr:col>
      <xdr:colOff>268980</xdr:colOff>
      <xdr:row>21</xdr:row>
      <xdr:rowOff>43965</xdr:rowOff>
    </xdr:to>
    <xdr:sp macro="" textlink="'Variable Mgmt'!C241">
      <xdr:nvSpPr>
        <xdr:cNvPr id="91" name="Text Box 265"/>
        <xdr:cNvSpPr txBox="1">
          <a:spLocks noChangeArrowheads="1" noTextEdit="1"/>
        </xdr:cNvSpPr>
      </xdr:nvSpPr>
      <xdr:spPr bwMode="auto">
        <a:xfrm>
          <a:off x="12825517" y="4462169"/>
          <a:ext cx="511763" cy="201421"/>
        </a:xfrm>
        <a:prstGeom prst="rect">
          <a:avLst/>
        </a:prstGeom>
        <a:noFill/>
        <a:ln w="9525">
          <a:noFill/>
          <a:miter lim="800000"/>
          <a:headEnd/>
          <a:tailEnd/>
        </a:ln>
      </xdr:spPr>
      <xdr:txBody>
        <a:bodyPr vertOverflow="clip" wrap="square" lIns="27432" tIns="22860" rIns="0" bIns="0" anchor="t" upright="1"/>
        <a:lstStyle/>
        <a:p>
          <a:pPr algn="l" rtl="0">
            <a:defRPr sz="1000"/>
          </a:pPr>
          <a:fld id="{B2616B24-776D-472C-9328-875E07CFCCA9}" type="TxLink">
            <a:rPr lang="en-US" sz="1100" b="0" i="0" u="none" strike="noStrike" baseline="0">
              <a:solidFill>
                <a:srgbClr val="000000"/>
              </a:solidFill>
              <a:latin typeface="Arial"/>
              <a:cs typeface="Arial"/>
            </a:rPr>
            <a:pPr algn="l" rtl="0">
              <a:defRPr sz="1000"/>
            </a:pPr>
            <a:t>12.1kΩ</a:t>
          </a:fld>
          <a:endParaRPr lang="el-GR" sz="1200" b="0" i="0" u="none" strike="noStrike" baseline="0">
            <a:solidFill>
              <a:srgbClr val="000000"/>
            </a:solidFill>
            <a:latin typeface="Arial" pitchFamily="34" charset="0"/>
            <a:cs typeface="Arial" pitchFamily="34" charset="0"/>
          </a:endParaRPr>
        </a:p>
      </xdr:txBody>
    </xdr:sp>
    <xdr:clientData/>
  </xdr:twoCellAnchor>
  <xdr:twoCellAnchor>
    <xdr:from>
      <xdr:col>13</xdr:col>
      <xdr:colOff>390526</xdr:colOff>
      <xdr:row>8</xdr:row>
      <xdr:rowOff>14707</xdr:rowOff>
    </xdr:from>
    <xdr:to>
      <xdr:col>15</xdr:col>
      <xdr:colOff>200026</xdr:colOff>
      <xdr:row>9</xdr:row>
      <xdr:rowOff>100569</xdr:rowOff>
    </xdr:to>
    <xdr:sp macro="" textlink="'Variable Mgmt'!B206">
      <xdr:nvSpPr>
        <xdr:cNvPr id="35" name="Text Box 283"/>
        <xdr:cNvSpPr txBox="1">
          <a:spLocks noChangeArrowheads="1" noTextEdit="1"/>
        </xdr:cNvSpPr>
      </xdr:nvSpPr>
      <xdr:spPr bwMode="auto">
        <a:xfrm>
          <a:off x="8324851" y="1986382"/>
          <a:ext cx="1028700" cy="285887"/>
        </a:xfrm>
        <a:prstGeom prst="rect">
          <a:avLst/>
        </a:prstGeom>
        <a:noFill/>
        <a:ln w="9525">
          <a:noFill/>
          <a:miter lim="800000"/>
          <a:headEnd/>
          <a:tailEnd/>
        </a:ln>
      </xdr:spPr>
      <xdr:txBody>
        <a:bodyPr vertOverflow="clip" wrap="square" lIns="27432" tIns="22860" rIns="0" bIns="0" anchor="t" upright="1"/>
        <a:lstStyle/>
        <a:p>
          <a:pPr algn="l" rtl="0">
            <a:defRPr sz="1000"/>
          </a:pPr>
          <a:fld id="{47315316-35F3-49E7-A4CE-EA42773D1FAE}" type="TxLink">
            <a:rPr lang="en-US" sz="1200" b="1" i="0" u="none" strike="noStrike">
              <a:solidFill>
                <a:srgbClr val="000000"/>
              </a:solidFill>
              <a:latin typeface="Arial"/>
              <a:cs typeface="Arial"/>
            </a:rPr>
            <a:pPr algn="l" rtl="0">
              <a:defRPr sz="1000"/>
            </a:pPr>
            <a:t>7V...24V</a:t>
          </a:fld>
          <a:endParaRPr lang="en-US" sz="1200" b="1" i="0" strike="noStrike">
            <a:solidFill>
              <a:srgbClr val="000000"/>
            </a:solidFill>
            <a:latin typeface="Arial" pitchFamily="34" charset="0"/>
            <a:cs typeface="Arial" pitchFamily="34" charset="0"/>
          </a:endParaRPr>
        </a:p>
      </xdr:txBody>
    </xdr:sp>
    <xdr:clientData/>
  </xdr:twoCellAnchor>
  <mc:AlternateContent xmlns:mc="http://schemas.openxmlformats.org/markup-compatibility/2006">
    <mc:Choice xmlns:a14="http://schemas.microsoft.com/office/drawing/2010/main" Requires="a14">
      <xdr:twoCellAnchor editAs="oneCell">
        <xdr:from>
          <xdr:col>4</xdr:col>
          <xdr:colOff>9525</xdr:colOff>
          <xdr:row>27</xdr:row>
          <xdr:rowOff>0</xdr:rowOff>
        </xdr:from>
        <xdr:to>
          <xdr:col>5</xdr:col>
          <xdr:colOff>276225</xdr:colOff>
          <xdr:row>28</xdr:row>
          <xdr:rowOff>28575</xdr:rowOff>
        </xdr:to>
        <xdr:sp macro="" textlink="">
          <xdr:nvSpPr>
            <xdr:cNvPr id="672935" name="Drop Down 167" hidden="1">
              <a:extLst>
                <a:ext uri="{63B3BB69-23CF-44E3-9099-C40C66FF867C}">
                  <a14:compatExt spid="_x0000_s672935"/>
                </a:ext>
              </a:extLst>
            </xdr:cNvPr>
            <xdr:cNvSpPr/>
          </xdr:nvSpPr>
          <xdr:spPr>
            <a:xfrm>
              <a:off x="0" y="0"/>
              <a:ext cx="0" cy="0"/>
            </a:xfrm>
            <a:prstGeom prst="rect">
              <a:avLst/>
            </a:prstGeom>
          </xdr:spPr>
        </xdr:sp>
        <xdr:clientData/>
      </xdr:twoCellAnchor>
    </mc:Choice>
    <mc:Fallback/>
  </mc:AlternateContent>
  <xdr:twoCellAnchor>
    <xdr:from>
      <xdr:col>19</xdr:col>
      <xdr:colOff>345191</xdr:colOff>
      <xdr:row>18</xdr:row>
      <xdr:rowOff>179673</xdr:rowOff>
    </xdr:from>
    <xdr:to>
      <xdr:col>20</xdr:col>
      <xdr:colOff>66463</xdr:colOff>
      <xdr:row>20</xdr:row>
      <xdr:rowOff>31513</xdr:rowOff>
    </xdr:to>
    <xdr:sp macro="" textlink="'Variable Mgmt'!C233">
      <xdr:nvSpPr>
        <xdr:cNvPr id="43" name="Text Box 225"/>
        <xdr:cNvSpPr txBox="1">
          <a:spLocks noChangeArrowheads="1"/>
        </xdr:cNvSpPr>
      </xdr:nvSpPr>
      <xdr:spPr bwMode="auto">
        <a:xfrm>
          <a:off x="12194291" y="4199223"/>
          <a:ext cx="330872" cy="251890"/>
        </a:xfrm>
        <a:prstGeom prst="rect">
          <a:avLst/>
        </a:prstGeom>
        <a:noFill/>
        <a:ln w="9525">
          <a:noFill/>
          <a:miter lim="800000"/>
          <a:headEnd/>
          <a:tailEnd/>
        </a:ln>
      </xdr:spPr>
      <xdr:txBody>
        <a:bodyPr vertOverflow="clip" wrap="square" lIns="27432" tIns="27432" rIns="0" bIns="0" anchor="ctr" upright="1"/>
        <a:lstStyle/>
        <a:p>
          <a:pPr algn="l" rtl="0">
            <a:defRPr sz="1000"/>
          </a:pPr>
          <a:fld id="{C394427D-AAFB-4910-BFD4-26E4AF094E1D}" type="TxLink">
            <a:rPr lang="en-US" sz="1000" b="0" i="0" u="none" strike="noStrike">
              <a:solidFill>
                <a:srgbClr val="000000"/>
              </a:solidFill>
              <a:latin typeface="Arial"/>
              <a:cs typeface="Arial"/>
            </a:rPr>
            <a:pPr algn="l" rtl="0">
              <a:defRPr sz="1000"/>
            </a:pPr>
            <a:t> </a:t>
          </a:fld>
          <a:endParaRPr lang="en-US" sz="1100" b="0" i="0" strike="noStrike" baseline="-25000">
            <a:solidFill>
              <a:srgbClr val="000000"/>
            </a:solidFill>
            <a:latin typeface="Arial" pitchFamily="34" charset="0"/>
            <a:cs typeface="Arial" pitchFamily="34" charset="0"/>
          </a:endParaRPr>
        </a:p>
      </xdr:txBody>
    </xdr:sp>
    <xdr:clientData/>
  </xdr:twoCellAnchor>
  <xdr:twoCellAnchor>
    <xdr:from>
      <xdr:col>19</xdr:col>
      <xdr:colOff>294863</xdr:colOff>
      <xdr:row>20</xdr:row>
      <xdr:rowOff>24818</xdr:rowOff>
    </xdr:from>
    <xdr:to>
      <xdr:col>20</xdr:col>
      <xdr:colOff>200643</xdr:colOff>
      <xdr:row>21</xdr:row>
      <xdr:rowOff>57525</xdr:rowOff>
    </xdr:to>
    <xdr:sp macro="" textlink="'Variable Mgmt'!B233">
      <xdr:nvSpPr>
        <xdr:cNvPr id="44" name="Text Box 268"/>
        <xdr:cNvSpPr txBox="1">
          <a:spLocks noChangeArrowheads="1" noTextEdit="1"/>
        </xdr:cNvSpPr>
      </xdr:nvSpPr>
      <xdr:spPr bwMode="auto">
        <a:xfrm>
          <a:off x="12143963" y="4444418"/>
          <a:ext cx="515380" cy="232732"/>
        </a:xfrm>
        <a:prstGeom prst="rect">
          <a:avLst/>
        </a:prstGeom>
        <a:noFill/>
        <a:ln w="9525">
          <a:noFill/>
          <a:miter lim="800000"/>
          <a:headEnd/>
          <a:tailEnd/>
        </a:ln>
      </xdr:spPr>
      <xdr:txBody>
        <a:bodyPr vertOverflow="clip" wrap="square" lIns="27432" tIns="22860" rIns="0" bIns="0" anchor="ctr" upright="1"/>
        <a:lstStyle/>
        <a:p>
          <a:pPr algn="l" rtl="0">
            <a:defRPr sz="1000"/>
          </a:pPr>
          <a:fld id="{35437053-6AF1-4CB6-8BC9-CEEF911045AA}" type="TxLink">
            <a:rPr lang="en-US" sz="1100" b="0" i="0" u="none" strike="noStrike">
              <a:solidFill>
                <a:srgbClr val="000000"/>
              </a:solidFill>
              <a:latin typeface="Arial"/>
              <a:cs typeface="Arial"/>
            </a:rPr>
            <a:pPr algn="l" rtl="0">
              <a:defRPr sz="1000"/>
            </a:pPr>
            <a:t> </a:t>
          </a:fld>
          <a:endParaRPr lang="el-GR" sz="1100" b="0" i="0" strike="noStrike">
            <a:solidFill>
              <a:srgbClr val="000000"/>
            </a:solidFill>
            <a:latin typeface="Arial" pitchFamily="34" charset="0"/>
            <a:cs typeface="Arial" pitchFamily="34" charset="0"/>
          </a:endParaRPr>
        </a:p>
      </xdr:txBody>
    </xdr:sp>
    <xdr:clientData/>
  </xdr:twoCellAnchor>
  <mc:AlternateContent xmlns:mc="http://schemas.openxmlformats.org/markup-compatibility/2006">
    <mc:Choice xmlns:a14="http://schemas.microsoft.com/office/drawing/2010/main" Requires="a14">
      <xdr:twoCellAnchor editAs="oneCell">
        <xdr:from>
          <xdr:col>4</xdr:col>
          <xdr:colOff>9525</xdr:colOff>
          <xdr:row>33</xdr:row>
          <xdr:rowOff>0</xdr:rowOff>
        </xdr:from>
        <xdr:to>
          <xdr:col>5</xdr:col>
          <xdr:colOff>257175</xdr:colOff>
          <xdr:row>33</xdr:row>
          <xdr:rowOff>200025</xdr:rowOff>
        </xdr:to>
        <xdr:sp macro="" textlink="">
          <xdr:nvSpPr>
            <xdr:cNvPr id="673043" name="Drop Down 275" hidden="1">
              <a:extLst>
                <a:ext uri="{63B3BB69-23CF-44E3-9099-C40C66FF867C}">
                  <a14:compatExt spid="_x0000_s673043"/>
                </a:ext>
              </a:extLst>
            </xdr:cNvPr>
            <xdr:cNvSpPr/>
          </xdr:nvSpPr>
          <xdr:spPr>
            <a:xfrm>
              <a:off x="0" y="0"/>
              <a:ext cx="0" cy="0"/>
            </a:xfrm>
            <a:prstGeom prst="rect">
              <a:avLst/>
            </a:prstGeom>
          </xdr:spPr>
        </xdr:sp>
        <xdr:clientData/>
      </xdr:twoCellAnchor>
    </mc:Choice>
    <mc:Fallback/>
  </mc:AlternateContent>
  <xdr:twoCellAnchor>
    <xdr:from>
      <xdr:col>15</xdr:col>
      <xdr:colOff>355276</xdr:colOff>
      <xdr:row>9</xdr:row>
      <xdr:rowOff>29108</xdr:rowOff>
    </xdr:from>
    <xdr:to>
      <xdr:col>16</xdr:col>
      <xdr:colOff>81051</xdr:colOff>
      <xdr:row>10</xdr:row>
      <xdr:rowOff>59124</xdr:rowOff>
    </xdr:to>
    <xdr:sp macro="" textlink="'Variable Mgmt'!C236">
      <xdr:nvSpPr>
        <xdr:cNvPr id="48" name="Text Box 264"/>
        <xdr:cNvSpPr txBox="1">
          <a:spLocks noChangeArrowheads="1" noTextEdit="1"/>
        </xdr:cNvSpPr>
      </xdr:nvSpPr>
      <xdr:spPr bwMode="auto">
        <a:xfrm>
          <a:off x="9508801" y="2200808"/>
          <a:ext cx="402050" cy="230041"/>
        </a:xfrm>
        <a:prstGeom prst="rect">
          <a:avLst/>
        </a:prstGeom>
        <a:noFill/>
        <a:ln w="9525">
          <a:noFill/>
          <a:miter lim="800000"/>
          <a:headEnd/>
          <a:tailEnd/>
        </a:ln>
      </xdr:spPr>
      <xdr:txBody>
        <a:bodyPr vertOverflow="clip" wrap="square" lIns="27432" tIns="22860" rIns="0" bIns="0" anchor="ctr" upright="1"/>
        <a:lstStyle/>
        <a:p>
          <a:pPr algn="l" rtl="0">
            <a:defRPr sz="1000"/>
          </a:pPr>
          <a:fld id="{31380AD2-7EE8-49DF-ADF3-9022D781233D}" type="TxLink">
            <a:rPr lang="en-US" sz="1000" b="0" i="0" u="none" strike="noStrike" baseline="0">
              <a:solidFill>
                <a:srgbClr val="000000"/>
              </a:solidFill>
              <a:latin typeface="Arial"/>
              <a:cs typeface="Arial"/>
            </a:rPr>
            <a:pPr algn="l" rtl="0">
              <a:defRPr sz="1000"/>
            </a:pPr>
            <a:t>Ruv1</a:t>
          </a:fld>
          <a:endParaRPr lang="el-GR" sz="1000" b="0" i="0" u="none" strike="noStrike" baseline="0">
            <a:solidFill>
              <a:srgbClr val="000000"/>
            </a:solidFill>
            <a:latin typeface="Arial" pitchFamily="34" charset="0"/>
            <a:cs typeface="Arial" pitchFamily="34" charset="0"/>
          </a:endParaRPr>
        </a:p>
      </xdr:txBody>
    </xdr:sp>
    <xdr:clientData/>
  </xdr:twoCellAnchor>
  <xdr:twoCellAnchor>
    <xdr:from>
      <xdr:col>15</xdr:col>
      <xdr:colOff>355276</xdr:colOff>
      <xdr:row>14</xdr:row>
      <xdr:rowOff>23943</xdr:rowOff>
    </xdr:from>
    <xdr:to>
      <xdr:col>16</xdr:col>
      <xdr:colOff>103031</xdr:colOff>
      <xdr:row>14</xdr:row>
      <xdr:rowOff>213188</xdr:rowOff>
    </xdr:to>
    <xdr:sp macro="" textlink="'Variable Mgmt'!D236">
      <xdr:nvSpPr>
        <xdr:cNvPr id="50" name="Text Box 264"/>
        <xdr:cNvSpPr txBox="1">
          <a:spLocks noChangeArrowheads="1" noTextEdit="1"/>
        </xdr:cNvSpPr>
      </xdr:nvSpPr>
      <xdr:spPr bwMode="auto">
        <a:xfrm>
          <a:off x="9508801" y="3195768"/>
          <a:ext cx="424030" cy="189245"/>
        </a:xfrm>
        <a:prstGeom prst="rect">
          <a:avLst/>
        </a:prstGeom>
        <a:noFill/>
        <a:ln w="9525">
          <a:noFill/>
          <a:miter lim="800000"/>
          <a:headEnd/>
          <a:tailEnd/>
        </a:ln>
      </xdr:spPr>
      <xdr:txBody>
        <a:bodyPr vertOverflow="clip" wrap="square" lIns="27432" tIns="22860" rIns="0" bIns="0" anchor="ctr" upright="1"/>
        <a:lstStyle/>
        <a:p>
          <a:pPr algn="l" rtl="0">
            <a:defRPr sz="1000"/>
          </a:pPr>
          <a:fld id="{873432C6-E14A-45C8-BEDA-C8EFF8641C5C}" type="TxLink">
            <a:rPr lang="en-US" sz="1000" b="0" i="0" u="none" strike="noStrike" baseline="0">
              <a:solidFill>
                <a:srgbClr val="000000"/>
              </a:solidFill>
              <a:latin typeface="Arial"/>
              <a:cs typeface="Arial"/>
            </a:rPr>
            <a:pPr algn="l" rtl="0">
              <a:defRPr sz="1000"/>
            </a:pPr>
            <a:t>Ruv2</a:t>
          </a:fld>
          <a:endParaRPr lang="el-GR" sz="1000" b="0" i="0" u="none" strike="noStrike" baseline="0">
            <a:solidFill>
              <a:srgbClr val="000000"/>
            </a:solidFill>
            <a:latin typeface="Arial" pitchFamily="34" charset="0"/>
            <a:cs typeface="Arial" pitchFamily="34" charset="0"/>
          </a:endParaRPr>
        </a:p>
      </xdr:txBody>
    </xdr:sp>
    <xdr:clientData/>
  </xdr:twoCellAnchor>
  <xdr:twoCellAnchor>
    <xdr:from>
      <xdr:col>15</xdr:col>
      <xdr:colOff>305571</xdr:colOff>
      <xdr:row>19</xdr:row>
      <xdr:rowOff>153969</xdr:rowOff>
    </xdr:from>
    <xdr:to>
      <xdr:col>16</xdr:col>
      <xdr:colOff>73264</xdr:colOff>
      <xdr:row>21</xdr:row>
      <xdr:rowOff>95474</xdr:rowOff>
    </xdr:to>
    <xdr:sp macro="" textlink="'Variable Mgmt'!C246">
      <xdr:nvSpPr>
        <xdr:cNvPr id="49" name="Text Box 281"/>
        <xdr:cNvSpPr txBox="1">
          <a:spLocks noChangeArrowheads="1" noTextEdit="1"/>
        </xdr:cNvSpPr>
      </xdr:nvSpPr>
      <xdr:spPr bwMode="auto">
        <a:xfrm>
          <a:off x="9459096" y="4373544"/>
          <a:ext cx="443968" cy="341555"/>
        </a:xfrm>
        <a:prstGeom prst="rect">
          <a:avLst/>
        </a:prstGeom>
        <a:noFill/>
        <a:ln w="9525">
          <a:noFill/>
          <a:miter lim="800000"/>
          <a:headEnd/>
          <a:tailEnd/>
        </a:ln>
      </xdr:spPr>
      <xdr:txBody>
        <a:bodyPr vertOverflow="clip" wrap="square" lIns="27432" tIns="22860" rIns="0" bIns="0" anchor="ctr" upright="1"/>
        <a:lstStyle/>
        <a:p>
          <a:pPr algn="l" rtl="0">
            <a:defRPr sz="1000"/>
          </a:pPr>
          <a:fld id="{B81C36CF-66FD-4734-B04F-DAE82AF849A9}" type="TxLink">
            <a:rPr lang="en-US" sz="1100" b="0" i="0" u="none" strike="noStrike">
              <a:solidFill>
                <a:srgbClr val="000000"/>
              </a:solidFill>
              <a:latin typeface="Arial"/>
              <a:cs typeface="Arial"/>
            </a:rPr>
            <a:pPr algn="l" rtl="0">
              <a:defRPr sz="1000"/>
            </a:pPr>
            <a:t> </a:t>
          </a:fld>
          <a:endParaRPr lang="en-US" sz="1100" b="0" i="0" strike="noStrike">
            <a:solidFill>
              <a:srgbClr val="000000"/>
            </a:solidFill>
            <a:latin typeface="Arial" pitchFamily="34" charset="0"/>
            <a:cs typeface="Arial" pitchFamily="34" charset="0"/>
          </a:endParaRPr>
        </a:p>
      </xdr:txBody>
    </xdr:sp>
    <xdr:clientData/>
  </xdr:twoCellAnchor>
  <xdr:twoCellAnchor editAs="oneCell">
    <xdr:from>
      <xdr:col>0</xdr:col>
      <xdr:colOff>78143</xdr:colOff>
      <xdr:row>0</xdr:row>
      <xdr:rowOff>32845</xdr:rowOff>
    </xdr:from>
    <xdr:to>
      <xdr:col>3</xdr:col>
      <xdr:colOff>351439</xdr:colOff>
      <xdr:row>0</xdr:row>
      <xdr:rowOff>571501</xdr:rowOff>
    </xdr:to>
    <xdr:pic macro="[0]!OpenLM27403ProductFolder">
      <xdr:nvPicPr>
        <xdr:cNvPr id="4" name="Picture 3">
          <a:hlinkClick xmlns:r="http://schemas.openxmlformats.org/officeDocument/2006/relationships" r:id="rId3"/>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t="4896" b="8304"/>
        <a:stretch/>
      </xdr:blipFill>
      <xdr:spPr>
        <a:xfrm>
          <a:off x="78143" y="32845"/>
          <a:ext cx="2283071" cy="538656"/>
        </a:xfrm>
        <a:prstGeom prst="rect">
          <a:avLst/>
        </a:prstGeom>
      </xdr:spPr>
    </xdr:pic>
    <xdr:clientData/>
  </xdr:twoCellAnchor>
  <xdr:twoCellAnchor editAs="oneCell">
    <xdr:from>
      <xdr:col>21</xdr:col>
      <xdr:colOff>400381</xdr:colOff>
      <xdr:row>0</xdr:row>
      <xdr:rowOff>123825</xdr:rowOff>
    </xdr:from>
    <xdr:to>
      <xdr:col>23</xdr:col>
      <xdr:colOff>432054</xdr:colOff>
      <xdr:row>3</xdr:row>
      <xdr:rowOff>123825</xdr:rowOff>
    </xdr:to>
    <xdr:pic macro="[0]!OpenLM27403ProductFolder">
      <xdr:nvPicPr>
        <xdr:cNvPr id="53" name="Picture 52">
          <a:hlinkClick xmlns:r="http://schemas.openxmlformats.org/officeDocument/2006/relationships" r:id="rId5"/>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5478456" y="123825"/>
          <a:ext cx="1250873" cy="971550"/>
        </a:xfrm>
        <a:prstGeom prst="rect">
          <a:avLst/>
        </a:prstGeom>
      </xdr:spPr>
    </xdr:pic>
    <xdr:clientData/>
  </xdr:twoCellAnchor>
  <xdr:twoCellAnchor editAs="oneCell">
    <xdr:from>
      <xdr:col>23</xdr:col>
      <xdr:colOff>514350</xdr:colOff>
      <xdr:row>0</xdr:row>
      <xdr:rowOff>117830</xdr:rowOff>
    </xdr:from>
    <xdr:to>
      <xdr:col>25</xdr:col>
      <xdr:colOff>542193</xdr:colOff>
      <xdr:row>3</xdr:row>
      <xdr:rowOff>120958</xdr:rowOff>
    </xdr:to>
    <xdr:pic macro="[0]!OpenLM27403ProductFolder">
      <xdr:nvPicPr>
        <xdr:cNvPr id="54" name="Picture 53">
          <a:hlinkClick xmlns:r="http://schemas.openxmlformats.org/officeDocument/2006/relationships" r:id="rId7"/>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16787446" y="117830"/>
          <a:ext cx="1244112" cy="970282"/>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11</xdr:col>
          <xdr:colOff>9525</xdr:colOff>
          <xdr:row>11</xdr:row>
          <xdr:rowOff>0</xdr:rowOff>
        </xdr:from>
        <xdr:to>
          <xdr:col>12</xdr:col>
          <xdr:colOff>66675</xdr:colOff>
          <xdr:row>12</xdr:row>
          <xdr:rowOff>9525</xdr:rowOff>
        </xdr:to>
        <xdr:sp macro="" textlink="">
          <xdr:nvSpPr>
            <xdr:cNvPr id="697343" name="Drop Down 3071" hidden="1">
              <a:extLst>
                <a:ext uri="{63B3BB69-23CF-44E3-9099-C40C66FF867C}">
                  <a14:compatExt spid="_x0000_s697343"/>
                </a:ext>
              </a:extLst>
            </xdr:cNvPr>
            <xdr:cNvSpPr/>
          </xdr:nvSpPr>
          <xdr:spPr>
            <a:xfrm>
              <a:off x="0" y="0"/>
              <a:ext cx="0" cy="0"/>
            </a:xfrm>
            <a:prstGeom prst="rect">
              <a:avLst/>
            </a:prstGeom>
          </xdr:spPr>
        </xdr:sp>
        <xdr:clientData/>
      </xdr:twoCellAnchor>
    </mc:Choice>
    <mc:Fallback/>
  </mc:AlternateContent>
  <xdr:twoCellAnchor>
    <xdr:from>
      <xdr:col>19</xdr:col>
      <xdr:colOff>348376</xdr:colOff>
      <xdr:row>14</xdr:row>
      <xdr:rowOff>69974</xdr:rowOff>
    </xdr:from>
    <xdr:to>
      <xdr:col>20</xdr:col>
      <xdr:colOff>61616</xdr:colOff>
      <xdr:row>15</xdr:row>
      <xdr:rowOff>61702</xdr:rowOff>
    </xdr:to>
    <xdr:sp macro="" textlink="">
      <xdr:nvSpPr>
        <xdr:cNvPr id="57" name="Text Box 244"/>
        <xdr:cNvSpPr txBox="1">
          <a:spLocks noChangeArrowheads="1"/>
        </xdr:cNvSpPr>
      </xdr:nvSpPr>
      <xdr:spPr bwMode="auto">
        <a:xfrm>
          <a:off x="12197476" y="3241799"/>
          <a:ext cx="322840" cy="239378"/>
        </a:xfrm>
        <a:prstGeom prst="rect">
          <a:avLst/>
        </a:prstGeom>
        <a:noFill/>
        <a:ln w="9525">
          <a:noFill/>
          <a:miter lim="800000"/>
          <a:headEnd/>
          <a:tailEnd/>
        </a:ln>
      </xdr:spPr>
      <xdr:txBody>
        <a:bodyPr vertOverflow="clip" wrap="square" lIns="27432" tIns="27432" rIns="0" bIns="0" anchor="t" upright="1"/>
        <a:lstStyle/>
        <a:p>
          <a:pPr algn="l" rtl="0">
            <a:defRPr sz="1000"/>
          </a:pPr>
          <a:r>
            <a:rPr lang="en-US" sz="1100" b="0" i="0" strike="noStrike">
              <a:solidFill>
                <a:srgbClr val="000000"/>
              </a:solidFill>
              <a:latin typeface="Arial" pitchFamily="34" charset="0"/>
              <a:cs typeface="Arial" pitchFamily="34" charset="0"/>
            </a:rPr>
            <a:t>R</a:t>
          </a:r>
          <a:r>
            <a:rPr lang="en-US" sz="1100" b="0" i="0" strike="noStrike" baseline="-25000">
              <a:solidFill>
                <a:srgbClr val="000000"/>
              </a:solidFill>
              <a:latin typeface="Arial" pitchFamily="34" charset="0"/>
              <a:cs typeface="Arial" pitchFamily="34" charset="0"/>
            </a:rPr>
            <a:t>FB</a:t>
          </a:r>
        </a:p>
      </xdr:txBody>
    </xdr:sp>
    <xdr:clientData/>
  </xdr:twoCellAnchor>
  <xdr:twoCellAnchor>
    <xdr:from>
      <xdr:col>20</xdr:col>
      <xdr:colOff>374043</xdr:colOff>
      <xdr:row>19</xdr:row>
      <xdr:rowOff>1514</xdr:rowOff>
    </xdr:from>
    <xdr:to>
      <xdr:col>21</xdr:col>
      <xdr:colOff>148739</xdr:colOff>
      <xdr:row>20</xdr:row>
      <xdr:rowOff>34871</xdr:rowOff>
    </xdr:to>
    <xdr:sp macro="" textlink="">
      <xdr:nvSpPr>
        <xdr:cNvPr id="58" name="Text Box 244"/>
        <xdr:cNvSpPr txBox="1">
          <a:spLocks noChangeArrowheads="1"/>
        </xdr:cNvSpPr>
      </xdr:nvSpPr>
      <xdr:spPr bwMode="auto">
        <a:xfrm>
          <a:off x="12832743" y="4221089"/>
          <a:ext cx="384296" cy="233382"/>
        </a:xfrm>
        <a:prstGeom prst="rect">
          <a:avLst/>
        </a:prstGeom>
        <a:noFill/>
        <a:ln w="9525">
          <a:noFill/>
          <a:miter lim="800000"/>
          <a:headEnd/>
          <a:tailEnd/>
        </a:ln>
      </xdr:spPr>
      <xdr:txBody>
        <a:bodyPr vertOverflow="clip" wrap="square" lIns="27432" tIns="27432" rIns="0" bIns="0" anchor="t" upright="1"/>
        <a:lstStyle/>
        <a:p>
          <a:pPr algn="l" rtl="0">
            <a:defRPr sz="1000"/>
          </a:pPr>
          <a:r>
            <a:rPr lang="en-US" sz="1100" b="0" i="0" strike="noStrike">
              <a:solidFill>
                <a:srgbClr val="000000"/>
              </a:solidFill>
              <a:latin typeface="Arial" pitchFamily="34" charset="0"/>
              <a:cs typeface="Arial" pitchFamily="34" charset="0"/>
            </a:rPr>
            <a:t>R</a:t>
          </a:r>
          <a:r>
            <a:rPr lang="en-US" sz="1100" b="0" i="0" strike="noStrike" baseline="-25000">
              <a:solidFill>
                <a:srgbClr val="000000"/>
              </a:solidFill>
              <a:latin typeface="Arial" pitchFamily="34" charset="0"/>
              <a:cs typeface="Arial" pitchFamily="34" charset="0"/>
            </a:rPr>
            <a:t>SET</a:t>
          </a:r>
        </a:p>
      </xdr:txBody>
    </xdr:sp>
    <xdr:clientData/>
  </xdr:twoCellAnchor>
  <xdr:twoCellAnchor>
    <xdr:from>
      <xdr:col>18</xdr:col>
      <xdr:colOff>548052</xdr:colOff>
      <xdr:row>8</xdr:row>
      <xdr:rowOff>15972</xdr:rowOff>
    </xdr:from>
    <xdr:to>
      <xdr:col>19</xdr:col>
      <xdr:colOff>346548</xdr:colOff>
      <xdr:row>9</xdr:row>
      <xdr:rowOff>76319</xdr:rowOff>
    </xdr:to>
    <xdr:sp macro="" textlink="">
      <xdr:nvSpPr>
        <xdr:cNvPr id="60" name="Text Box 235"/>
        <xdr:cNvSpPr txBox="1">
          <a:spLocks noChangeArrowheads="1"/>
        </xdr:cNvSpPr>
      </xdr:nvSpPr>
      <xdr:spPr bwMode="auto">
        <a:xfrm>
          <a:off x="11730402" y="1987647"/>
          <a:ext cx="465246" cy="260372"/>
        </a:xfrm>
        <a:prstGeom prst="rect">
          <a:avLst/>
        </a:prstGeom>
        <a:noFill/>
        <a:ln w="9525">
          <a:noFill/>
          <a:miter lim="800000"/>
          <a:headEnd/>
          <a:tailEnd/>
        </a:ln>
      </xdr:spPr>
      <xdr:txBody>
        <a:bodyPr vertOverflow="clip" wrap="square" lIns="27432" tIns="27432" rIns="0" bIns="0" anchor="ctr" upright="1"/>
        <a:lstStyle/>
        <a:p>
          <a:pPr algn="l" rtl="0">
            <a:defRPr sz="1000"/>
          </a:pPr>
          <a:r>
            <a:rPr lang="en-US" sz="1100" b="0" i="0" strike="noStrike">
              <a:solidFill>
                <a:srgbClr val="000000"/>
              </a:solidFill>
              <a:latin typeface="Arial" pitchFamily="34" charset="0"/>
              <a:cs typeface="Arial" pitchFamily="34" charset="0"/>
            </a:rPr>
            <a:t>D</a:t>
          </a:r>
          <a:r>
            <a:rPr lang="en-US" sz="1100" b="0" i="0" strike="noStrike" baseline="-25000">
              <a:solidFill>
                <a:srgbClr val="000000"/>
              </a:solidFill>
              <a:latin typeface="Arial" pitchFamily="34" charset="0"/>
              <a:cs typeface="Arial" pitchFamily="34" charset="0"/>
            </a:rPr>
            <a:t>CLAMP</a:t>
          </a:r>
        </a:p>
      </xdr:txBody>
    </xdr:sp>
    <xdr:clientData/>
  </xdr:twoCellAnchor>
  <xdr:twoCellAnchor>
    <xdr:from>
      <xdr:col>19</xdr:col>
      <xdr:colOff>164558</xdr:colOff>
      <xdr:row>11</xdr:row>
      <xdr:rowOff>69250</xdr:rowOff>
    </xdr:from>
    <xdr:to>
      <xdr:col>19</xdr:col>
      <xdr:colOff>436580</xdr:colOff>
      <xdr:row>12</xdr:row>
      <xdr:rowOff>119548</xdr:rowOff>
    </xdr:to>
    <xdr:sp macro="" textlink="">
      <xdr:nvSpPr>
        <xdr:cNvPr id="61" name="Text Box 235"/>
        <xdr:cNvSpPr txBox="1">
          <a:spLocks noChangeArrowheads="1"/>
        </xdr:cNvSpPr>
      </xdr:nvSpPr>
      <xdr:spPr bwMode="auto">
        <a:xfrm>
          <a:off x="12013658" y="2641000"/>
          <a:ext cx="272022" cy="250323"/>
        </a:xfrm>
        <a:prstGeom prst="rect">
          <a:avLst/>
        </a:prstGeom>
        <a:noFill/>
        <a:ln w="9525">
          <a:noFill/>
          <a:miter lim="800000"/>
          <a:headEnd/>
          <a:tailEnd/>
        </a:ln>
      </xdr:spPr>
      <xdr:txBody>
        <a:bodyPr vertOverflow="clip" wrap="square" lIns="27432" tIns="27432" rIns="0" bIns="0" anchor="ctr" upright="1"/>
        <a:lstStyle/>
        <a:p>
          <a:pPr algn="l" rtl="0">
            <a:defRPr sz="1000"/>
          </a:pPr>
          <a:r>
            <a:rPr lang="en-US" sz="1100" b="0" i="0" strike="noStrike">
              <a:solidFill>
                <a:srgbClr val="000000"/>
              </a:solidFill>
              <a:latin typeface="Arial" pitchFamily="34" charset="0"/>
              <a:cs typeface="Arial" pitchFamily="34" charset="0"/>
            </a:rPr>
            <a:t>D</a:t>
          </a:r>
          <a:r>
            <a:rPr lang="en-US" sz="1100" b="0" i="0" strike="noStrike" baseline="-25000">
              <a:solidFill>
                <a:srgbClr val="000000"/>
              </a:solidFill>
              <a:latin typeface="Arial" pitchFamily="34" charset="0"/>
              <a:cs typeface="Arial" pitchFamily="34" charset="0"/>
            </a:rPr>
            <a:t>F</a:t>
          </a:r>
        </a:p>
      </xdr:txBody>
    </xdr:sp>
    <xdr:clientData/>
  </xdr:twoCellAnchor>
  <mc:AlternateContent xmlns:mc="http://schemas.openxmlformats.org/markup-compatibility/2006">
    <mc:Choice xmlns:a14="http://schemas.microsoft.com/office/drawing/2010/main" Requires="a14">
      <xdr:twoCellAnchor editAs="oneCell">
        <xdr:from>
          <xdr:col>4</xdr:col>
          <xdr:colOff>0</xdr:colOff>
          <xdr:row>30</xdr:row>
          <xdr:rowOff>9525</xdr:rowOff>
        </xdr:from>
        <xdr:to>
          <xdr:col>5</xdr:col>
          <xdr:colOff>266700</xdr:colOff>
          <xdr:row>31</xdr:row>
          <xdr:rowOff>9525</xdr:rowOff>
        </xdr:to>
        <xdr:sp macro="" textlink="">
          <xdr:nvSpPr>
            <xdr:cNvPr id="714798" name="Drop Down 3118" hidden="1">
              <a:extLst>
                <a:ext uri="{63B3BB69-23CF-44E3-9099-C40C66FF867C}">
                  <a14:compatExt spid="_x0000_s714798"/>
                </a:ext>
              </a:extLst>
            </xdr:cNvPr>
            <xdr:cNvSpPr/>
          </xdr:nvSpPr>
          <xdr:spPr>
            <a:xfrm>
              <a:off x="0" y="0"/>
              <a:ext cx="0" cy="0"/>
            </a:xfrm>
            <a:prstGeom prst="rect">
              <a:avLst/>
            </a:prstGeom>
          </xdr:spPr>
        </xdr:sp>
        <xdr:clientData/>
      </xdr:twoCellAnchor>
    </mc:Choice>
    <mc:Fallback/>
  </mc:AlternateContent>
  <xdr:twoCellAnchor>
    <xdr:from>
      <xdr:col>20</xdr:col>
      <xdr:colOff>304800</xdr:colOff>
      <xdr:row>10</xdr:row>
      <xdr:rowOff>191738</xdr:rowOff>
    </xdr:from>
    <xdr:to>
      <xdr:col>21</xdr:col>
      <xdr:colOff>447675</xdr:colOff>
      <xdr:row>12</xdr:row>
      <xdr:rowOff>38100</xdr:rowOff>
    </xdr:to>
    <xdr:sp macro="" textlink="'Variable Mgmt'!B201">
      <xdr:nvSpPr>
        <xdr:cNvPr id="62" name="Text Box 265"/>
        <xdr:cNvSpPr txBox="1">
          <a:spLocks noChangeArrowheads="1" noTextEdit="1"/>
        </xdr:cNvSpPr>
      </xdr:nvSpPr>
      <xdr:spPr bwMode="auto">
        <a:xfrm>
          <a:off x="12763500" y="2563463"/>
          <a:ext cx="752475" cy="246412"/>
        </a:xfrm>
        <a:prstGeom prst="rect">
          <a:avLst/>
        </a:prstGeom>
        <a:noFill/>
        <a:ln w="9525">
          <a:noFill/>
          <a:miter lim="800000"/>
          <a:headEnd/>
          <a:tailEnd/>
        </a:ln>
      </xdr:spPr>
      <xdr:txBody>
        <a:bodyPr vertOverflow="clip" wrap="square" lIns="27432" tIns="22860" rIns="0" bIns="0" anchor="t" upright="1"/>
        <a:lstStyle/>
        <a:p>
          <a:pPr algn="ctr" rtl="0">
            <a:defRPr sz="1000"/>
          </a:pPr>
          <a:fld id="{4DF3E085-FEDD-406F-9003-D894075812A3}" type="TxLink">
            <a:rPr lang="en-US" sz="1000" b="0" i="0" u="none" strike="noStrike" baseline="0">
              <a:solidFill>
                <a:srgbClr val="000000"/>
              </a:solidFill>
              <a:latin typeface="Arial"/>
              <a:cs typeface="Arial"/>
            </a:rPr>
            <a:pPr algn="ctr" rtl="0">
              <a:defRPr sz="1000"/>
            </a:pPr>
            <a:t>1 : 1</a:t>
          </a:fld>
          <a:endParaRPr lang="el-GR" sz="1200" b="0" i="0" u="none" strike="noStrike" baseline="0">
            <a:solidFill>
              <a:srgbClr val="000000"/>
            </a:solidFill>
            <a:latin typeface="Arial" pitchFamily="34" charset="0"/>
            <a:cs typeface="Arial" pitchFamily="34" charset="0"/>
          </a:endParaRPr>
        </a:p>
      </xdr:txBody>
    </xdr:sp>
    <xdr:clientData/>
  </xdr:twoCellAnchor>
  <xdr:twoCellAnchor>
    <xdr:from>
      <xdr:col>25</xdr:col>
      <xdr:colOff>571500</xdr:colOff>
      <xdr:row>27</xdr:row>
      <xdr:rowOff>113959</xdr:rowOff>
    </xdr:from>
    <xdr:to>
      <xdr:col>25</xdr:col>
      <xdr:colOff>1049263</xdr:colOff>
      <xdr:row>29</xdr:row>
      <xdr:rowOff>12359</xdr:rowOff>
    </xdr:to>
    <xdr:sp macro="" textlink="'Variable Mgmt'!$B$254">
      <xdr:nvSpPr>
        <xdr:cNvPr id="56" name="Text Box 24"/>
        <xdr:cNvSpPr txBox="1">
          <a:spLocks noChangeArrowheads="1" noTextEdit="1"/>
        </xdr:cNvSpPr>
      </xdr:nvSpPr>
      <xdr:spPr bwMode="auto">
        <a:xfrm>
          <a:off x="16078200" y="5962309"/>
          <a:ext cx="477763" cy="279400"/>
        </a:xfrm>
        <a:prstGeom prst="rect">
          <a:avLst/>
        </a:prstGeom>
        <a:noFill/>
        <a:ln w="9525">
          <a:noFill/>
          <a:miter lim="800000"/>
          <a:headEnd/>
          <a:tailEnd/>
        </a:ln>
      </xdr:spPr>
      <xdr:txBody>
        <a:bodyPr wrap="square" lIns="27432" tIns="22860" rIns="0" bIns="22860" anchor="ctr"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defRPr sz="1000"/>
          </a:pPr>
          <a:fld id="{1F0AFB1C-0795-4024-9821-D34D86340D40}" type="TxLink">
            <a:rPr lang="en-US" sz="1000" b="0" i="0" u="none" strike="noStrike" baseline="0">
              <a:solidFill>
                <a:srgbClr val="000000"/>
              </a:solidFill>
              <a:latin typeface="Arial"/>
              <a:cs typeface="Arial"/>
            </a:rPr>
            <a:pPr algn="l" rtl="0">
              <a:defRPr sz="1000"/>
            </a:pPr>
            <a:t>88.4%</a:t>
          </a:fld>
          <a:endParaRPr lang="en-US" sz="1000" b="1" i="0" u="none" strike="noStrike" baseline="0">
            <a:solidFill>
              <a:srgbClr val="000000"/>
            </a:solidFill>
            <a:latin typeface="Arial" pitchFamily="34" charset="0"/>
            <a:cs typeface="Arial" pitchFamily="34" charset="0"/>
          </a:endParaRPr>
        </a:p>
      </xdr:txBody>
    </xdr:sp>
    <xdr:clientData/>
  </xdr:twoCellAnchor>
  <xdr:twoCellAnchor>
    <xdr:from>
      <xdr:col>24</xdr:col>
      <xdr:colOff>38389</xdr:colOff>
      <xdr:row>13</xdr:row>
      <xdr:rowOff>88799</xdr:rowOff>
    </xdr:from>
    <xdr:to>
      <xdr:col>25</xdr:col>
      <xdr:colOff>93822</xdr:colOff>
      <xdr:row>14</xdr:row>
      <xdr:rowOff>236764</xdr:rowOff>
    </xdr:to>
    <xdr:sp macro="" textlink="'Variable Mgmt'!B209">
      <xdr:nvSpPr>
        <xdr:cNvPr id="42" name="Text Box 285"/>
        <xdr:cNvSpPr txBox="1">
          <a:spLocks noChangeArrowheads="1" noTextEdit="1"/>
        </xdr:cNvSpPr>
      </xdr:nvSpPr>
      <xdr:spPr bwMode="auto">
        <a:xfrm>
          <a:off x="14935489" y="3060599"/>
          <a:ext cx="665033" cy="347990"/>
        </a:xfrm>
        <a:prstGeom prst="rect">
          <a:avLst/>
        </a:prstGeom>
        <a:noFill/>
        <a:ln w="9525">
          <a:noFill/>
          <a:miter lim="800000"/>
          <a:headEnd/>
          <a:tailEnd/>
        </a:ln>
      </xdr:spPr>
      <xdr:txBody>
        <a:bodyPr vertOverflow="clip" wrap="square" lIns="27432" tIns="22860" rIns="0" bIns="0" anchor="ctr" upright="1"/>
        <a:lstStyle/>
        <a:p>
          <a:pPr algn="l" rtl="0">
            <a:defRPr sz="1000"/>
          </a:pPr>
          <a:fld id="{1EB32AF4-7354-4114-B6DF-5AD8FEB0166D}" type="TxLink">
            <a:rPr lang="en-US" sz="1350" b="1" i="0" u="none" strike="noStrike" baseline="0">
              <a:solidFill>
                <a:srgbClr val="FF0000"/>
              </a:solidFill>
              <a:latin typeface="Arial"/>
              <a:cs typeface="Arial"/>
            </a:rPr>
            <a:pPr algn="l" rtl="0">
              <a:defRPr sz="1000"/>
            </a:pPr>
            <a:t> </a:t>
          </a:fld>
          <a:endParaRPr lang="en-US" sz="1350" b="1" i="0" u="none" strike="noStrike" baseline="0">
            <a:solidFill>
              <a:srgbClr val="FF0000"/>
            </a:solidFill>
            <a:latin typeface="Arial" pitchFamily="34" charset="0"/>
            <a:cs typeface="Arial" pitchFamily="34" charset="0"/>
          </a:endParaRPr>
        </a:p>
      </xdr:txBody>
    </xdr:sp>
    <xdr:clientData/>
  </xdr:twoCellAnchor>
  <xdr:twoCellAnchor>
    <xdr:from>
      <xdr:col>23</xdr:col>
      <xdr:colOff>418167</xdr:colOff>
      <xdr:row>14</xdr:row>
      <xdr:rowOff>147867</xdr:rowOff>
    </xdr:from>
    <xdr:to>
      <xdr:col>24</xdr:col>
      <xdr:colOff>561280</xdr:colOff>
      <xdr:row>15</xdr:row>
      <xdr:rowOff>199064</xdr:rowOff>
    </xdr:to>
    <xdr:sp macro="" textlink="'Variable Mgmt'!B264">
      <xdr:nvSpPr>
        <xdr:cNvPr id="46" name="Text Box 286"/>
        <xdr:cNvSpPr txBox="1">
          <a:spLocks noChangeArrowheads="1" noTextEdit="1"/>
        </xdr:cNvSpPr>
      </xdr:nvSpPr>
      <xdr:spPr bwMode="auto">
        <a:xfrm>
          <a:off x="14705667" y="3319692"/>
          <a:ext cx="752713" cy="298847"/>
        </a:xfrm>
        <a:prstGeom prst="rect">
          <a:avLst/>
        </a:prstGeom>
        <a:noFill/>
        <a:ln w="9525">
          <a:noFill/>
          <a:miter lim="800000"/>
          <a:headEnd/>
          <a:tailEnd/>
        </a:ln>
      </xdr:spPr>
      <xdr:txBody>
        <a:bodyPr vertOverflow="clip" wrap="square" lIns="27432" tIns="22860" rIns="0" bIns="0" anchor="ctr" upright="1"/>
        <a:lstStyle/>
        <a:p>
          <a:pPr algn="ctr" rtl="0">
            <a:defRPr sz="1000"/>
          </a:pPr>
          <a:fld id="{F430775D-5566-4B2B-9D86-4FABD1E02F13}" type="TxLink">
            <a:rPr lang="en-US" sz="1350" b="1" i="0" u="none" strike="noStrike">
              <a:solidFill>
                <a:srgbClr val="FF0000"/>
              </a:solidFill>
              <a:latin typeface="Arial"/>
              <a:cs typeface="Arial"/>
            </a:rPr>
            <a:pPr algn="ctr" rtl="0">
              <a:defRPr sz="1000"/>
            </a:pPr>
            <a:t> </a:t>
          </a:fld>
          <a:endParaRPr lang="en-US" sz="1350" b="1" i="0" strike="noStrike">
            <a:solidFill>
              <a:srgbClr val="FF0000"/>
            </a:solidFill>
            <a:latin typeface="Arial" pitchFamily="34" charset="0"/>
            <a:cs typeface="Arial" pitchFamily="34" charset="0"/>
          </a:endParaRPr>
        </a:p>
      </xdr:txBody>
    </xdr:sp>
    <xdr:clientData/>
  </xdr:twoCellAnchor>
  <xdr:twoCellAnchor>
    <xdr:from>
      <xdr:col>24</xdr:col>
      <xdr:colOff>289</xdr:colOff>
      <xdr:row>15</xdr:row>
      <xdr:rowOff>128260</xdr:rowOff>
    </xdr:from>
    <xdr:to>
      <xdr:col>25</xdr:col>
      <xdr:colOff>55722</xdr:colOff>
      <xdr:row>17</xdr:row>
      <xdr:rowOff>74839</xdr:rowOff>
    </xdr:to>
    <xdr:sp macro="" textlink="'Variable Mgmt'!B210">
      <xdr:nvSpPr>
        <xdr:cNvPr id="47" name="Text Box 285"/>
        <xdr:cNvSpPr txBox="1">
          <a:spLocks noChangeArrowheads="1" noTextEdit="1"/>
        </xdr:cNvSpPr>
      </xdr:nvSpPr>
      <xdr:spPr bwMode="auto">
        <a:xfrm>
          <a:off x="14897389" y="3547735"/>
          <a:ext cx="665033" cy="346629"/>
        </a:xfrm>
        <a:prstGeom prst="rect">
          <a:avLst/>
        </a:prstGeom>
        <a:noFill/>
        <a:ln w="9525">
          <a:noFill/>
          <a:miter lim="800000"/>
          <a:headEnd/>
          <a:tailEnd/>
        </a:ln>
      </xdr:spPr>
      <xdr:txBody>
        <a:bodyPr vertOverflow="clip" wrap="square" lIns="27432" tIns="22860" rIns="0" bIns="0" anchor="ctr" upright="1"/>
        <a:lstStyle/>
        <a:p>
          <a:pPr algn="l" rtl="0">
            <a:defRPr sz="1000"/>
          </a:pPr>
          <a:fld id="{6CC6AC32-C574-4CE6-AE26-39476DAD0777}" type="TxLink">
            <a:rPr lang="en-US" sz="1350" b="1" i="0" u="none" strike="noStrike" baseline="0">
              <a:solidFill>
                <a:srgbClr val="FF0000"/>
              </a:solidFill>
              <a:latin typeface="Arial"/>
              <a:cs typeface="Arial"/>
            </a:rPr>
            <a:pPr algn="l" rtl="0">
              <a:defRPr sz="1000"/>
            </a:pPr>
            <a:t> </a:t>
          </a:fld>
          <a:endParaRPr lang="en-US" sz="1350" b="1" i="0" u="none" strike="noStrike" baseline="0">
            <a:solidFill>
              <a:srgbClr val="FF0000"/>
            </a:solidFill>
            <a:latin typeface="Arial" pitchFamily="34" charset="0"/>
            <a:cs typeface="Arial" pitchFamily="34" charset="0"/>
          </a:endParaRPr>
        </a:p>
      </xdr:txBody>
    </xdr:sp>
    <xdr:clientData/>
  </xdr:twoCellAnchor>
  <xdr:twoCellAnchor>
    <xdr:from>
      <xdr:col>23</xdr:col>
      <xdr:colOff>437217</xdr:colOff>
      <xdr:row>16</xdr:row>
      <xdr:rowOff>190049</xdr:rowOff>
    </xdr:from>
    <xdr:to>
      <xdr:col>24</xdr:col>
      <xdr:colOff>580330</xdr:colOff>
      <xdr:row>18</xdr:row>
      <xdr:rowOff>90207</xdr:rowOff>
    </xdr:to>
    <xdr:sp macro="" textlink="'Variable Mgmt'!B265">
      <xdr:nvSpPr>
        <xdr:cNvPr id="51" name="Text Box 286"/>
        <xdr:cNvSpPr txBox="1">
          <a:spLocks noChangeArrowheads="1" noTextEdit="1"/>
        </xdr:cNvSpPr>
      </xdr:nvSpPr>
      <xdr:spPr bwMode="auto">
        <a:xfrm>
          <a:off x="14724717" y="3809549"/>
          <a:ext cx="752713" cy="300208"/>
        </a:xfrm>
        <a:prstGeom prst="rect">
          <a:avLst/>
        </a:prstGeom>
        <a:noFill/>
        <a:ln w="9525">
          <a:noFill/>
          <a:miter lim="800000"/>
          <a:headEnd/>
          <a:tailEnd/>
        </a:ln>
      </xdr:spPr>
      <xdr:txBody>
        <a:bodyPr vertOverflow="clip" wrap="square" lIns="27432" tIns="22860" rIns="0" bIns="0" anchor="ctr" upright="1"/>
        <a:lstStyle/>
        <a:p>
          <a:pPr algn="ctr" rtl="0">
            <a:defRPr sz="1000"/>
          </a:pPr>
          <a:fld id="{21AE0BE5-7426-43AE-A5A8-768A4DEE6C58}" type="TxLink">
            <a:rPr lang="en-US" sz="1350" b="1" i="0" u="none" strike="noStrike">
              <a:solidFill>
                <a:srgbClr val="FF0000"/>
              </a:solidFill>
              <a:latin typeface="Arial"/>
              <a:cs typeface="Arial"/>
            </a:rPr>
            <a:pPr algn="ctr" rtl="0">
              <a:defRPr sz="1000"/>
            </a:pPr>
            <a:t> </a:t>
          </a:fld>
          <a:endParaRPr lang="en-US" sz="1350" b="1" i="0" strike="noStrike">
            <a:solidFill>
              <a:srgbClr val="FF0000"/>
            </a:solidFill>
            <a:latin typeface="Arial" pitchFamily="34" charset="0"/>
            <a:cs typeface="Arial" pitchFamily="34" charset="0"/>
          </a:endParaRPr>
        </a:p>
      </xdr:txBody>
    </xdr:sp>
    <xdr:clientData/>
  </xdr:twoCellAnchor>
  <xdr:twoCellAnchor>
    <xdr:from>
      <xdr:col>23</xdr:col>
      <xdr:colOff>132557</xdr:colOff>
      <xdr:row>14</xdr:row>
      <xdr:rowOff>179147</xdr:rowOff>
    </xdr:from>
    <xdr:to>
      <xdr:col>24</xdr:col>
      <xdr:colOff>16035</xdr:colOff>
      <xdr:row>15</xdr:row>
      <xdr:rowOff>105137</xdr:rowOff>
    </xdr:to>
    <xdr:sp macro="" textlink="'Variable Mgmt'!D213">
      <xdr:nvSpPr>
        <xdr:cNvPr id="55" name="Text Box 267"/>
        <xdr:cNvSpPr txBox="1">
          <a:spLocks noChangeArrowheads="1" noTextEdit="1"/>
        </xdr:cNvSpPr>
      </xdr:nvSpPr>
      <xdr:spPr bwMode="auto">
        <a:xfrm>
          <a:off x="14420057" y="3350972"/>
          <a:ext cx="493078" cy="173640"/>
        </a:xfrm>
        <a:prstGeom prst="rect">
          <a:avLst/>
        </a:prstGeom>
        <a:noFill/>
        <a:ln w="9525">
          <a:noFill/>
          <a:miter lim="800000"/>
          <a:headEnd/>
          <a:tailEnd/>
        </a:ln>
      </xdr:spPr>
      <xdr:txBody>
        <a:bodyPr vertOverflow="clip" wrap="square" lIns="27432" tIns="22860" rIns="0" bIns="0" anchor="ctr" upright="1"/>
        <a:lstStyle/>
        <a:p>
          <a:pPr algn="l" rtl="0">
            <a:defRPr sz="1000"/>
          </a:pPr>
          <a:fld id="{2B13305E-FBF9-43A5-B29E-67B7B248F534}" type="TxLink">
            <a:rPr lang="en-US" sz="1000" b="0" i="0" u="none" strike="noStrike" baseline="0">
              <a:solidFill>
                <a:srgbClr val="000000"/>
              </a:solidFill>
              <a:latin typeface="Arial"/>
              <a:cs typeface="Arial"/>
            </a:rPr>
            <a:pPr algn="l" rtl="0">
              <a:defRPr sz="1000"/>
            </a:pPr>
            <a:t> </a:t>
          </a:fld>
          <a:endParaRPr lang="en-US" sz="1100" b="0" i="0" u="none" strike="noStrike" baseline="0">
            <a:solidFill>
              <a:srgbClr val="000000"/>
            </a:solidFill>
            <a:latin typeface="Arial" pitchFamily="34" charset="0"/>
            <a:cs typeface="Arial" pitchFamily="34" charset="0"/>
          </a:endParaRPr>
        </a:p>
      </xdr:txBody>
    </xdr:sp>
    <xdr:clientData/>
  </xdr:twoCellAnchor>
  <xdr:twoCellAnchor>
    <xdr:from>
      <xdr:col>23</xdr:col>
      <xdr:colOff>132557</xdr:colOff>
      <xdr:row>16</xdr:row>
      <xdr:rowOff>141047</xdr:rowOff>
    </xdr:from>
    <xdr:to>
      <xdr:col>24</xdr:col>
      <xdr:colOff>16035</xdr:colOff>
      <xdr:row>17</xdr:row>
      <xdr:rowOff>124187</xdr:rowOff>
    </xdr:to>
    <xdr:sp macro="" textlink="'Variable Mgmt'!C213">
      <xdr:nvSpPr>
        <xdr:cNvPr id="67" name="Text Box 267"/>
        <xdr:cNvSpPr txBox="1">
          <a:spLocks noChangeArrowheads="1" noTextEdit="1"/>
        </xdr:cNvSpPr>
      </xdr:nvSpPr>
      <xdr:spPr bwMode="auto">
        <a:xfrm>
          <a:off x="14420057" y="3760547"/>
          <a:ext cx="493078" cy="183165"/>
        </a:xfrm>
        <a:prstGeom prst="rect">
          <a:avLst/>
        </a:prstGeom>
        <a:noFill/>
        <a:ln w="9525">
          <a:noFill/>
          <a:miter lim="800000"/>
          <a:headEnd/>
          <a:tailEnd/>
        </a:ln>
      </xdr:spPr>
      <xdr:txBody>
        <a:bodyPr vertOverflow="clip" wrap="square" lIns="27432" tIns="22860" rIns="0" bIns="0" anchor="ctr" upright="1"/>
        <a:lstStyle/>
        <a:p>
          <a:pPr algn="l" rtl="0">
            <a:defRPr sz="1000"/>
          </a:pPr>
          <a:fld id="{EB8BEA1C-AFA8-40F4-BE4F-A41F4D085390}" type="TxLink">
            <a:rPr lang="en-US" sz="1100" b="0" i="0" u="none" strike="noStrike" baseline="0">
              <a:solidFill>
                <a:srgbClr val="000000"/>
              </a:solidFill>
              <a:latin typeface="Arial"/>
              <a:cs typeface="Arial"/>
            </a:rPr>
            <a:pPr algn="l" rtl="0">
              <a:defRPr sz="1000"/>
            </a:pPr>
            <a:t> </a:t>
          </a:fld>
          <a:endParaRPr lang="en-US" sz="1400" b="0" i="0" u="none" strike="noStrike" baseline="0">
            <a:solidFill>
              <a:srgbClr val="000000"/>
            </a:solidFill>
            <a:latin typeface="Arial" pitchFamily="34" charset="0"/>
            <a:cs typeface="Arial" pitchFamily="34" charset="0"/>
          </a:endParaRPr>
        </a:p>
      </xdr:txBody>
    </xdr:sp>
    <xdr:clientData/>
  </xdr:twoCellAnchor>
  <xdr:twoCellAnchor>
    <xdr:from>
      <xdr:col>20</xdr:col>
      <xdr:colOff>461791</xdr:colOff>
      <xdr:row>5</xdr:row>
      <xdr:rowOff>140393</xdr:rowOff>
    </xdr:from>
    <xdr:to>
      <xdr:col>21</xdr:col>
      <xdr:colOff>172310</xdr:colOff>
      <xdr:row>7</xdr:row>
      <xdr:rowOff>7039</xdr:rowOff>
    </xdr:to>
    <xdr:sp macro="" textlink="">
      <xdr:nvSpPr>
        <xdr:cNvPr id="52" name="Text Box 244"/>
        <xdr:cNvSpPr txBox="1">
          <a:spLocks noChangeArrowheads="1"/>
        </xdr:cNvSpPr>
      </xdr:nvSpPr>
      <xdr:spPr bwMode="auto">
        <a:xfrm>
          <a:off x="12920491" y="1531043"/>
          <a:ext cx="320119" cy="247646"/>
        </a:xfrm>
        <a:prstGeom prst="rect">
          <a:avLst/>
        </a:prstGeom>
        <a:noFill/>
        <a:ln w="9525">
          <a:noFill/>
          <a:miter lim="800000"/>
          <a:headEnd/>
          <a:tailEnd/>
        </a:ln>
      </xdr:spPr>
      <xdr:txBody>
        <a:bodyPr vertOverflow="clip" wrap="square" lIns="27432" tIns="27432" rIns="0" bIns="0" anchor="t" upright="1"/>
        <a:lstStyle/>
        <a:p>
          <a:pPr algn="ctr" rtl="0">
            <a:defRPr sz="1000"/>
          </a:pPr>
          <a:r>
            <a:rPr lang="en-US" sz="1100" b="0" i="0" strike="noStrike">
              <a:solidFill>
                <a:srgbClr val="000000"/>
              </a:solidFill>
              <a:latin typeface="Arial" pitchFamily="34" charset="0"/>
              <a:cs typeface="Arial" pitchFamily="34" charset="0"/>
            </a:rPr>
            <a:t>T</a:t>
          </a:r>
          <a:r>
            <a:rPr lang="en-US" sz="1100" b="0" i="0" strike="noStrike" baseline="-25000">
              <a:solidFill>
                <a:srgbClr val="000000"/>
              </a:solidFill>
              <a:latin typeface="Arial" pitchFamily="34" charset="0"/>
              <a:cs typeface="Arial" pitchFamily="34" charset="0"/>
            </a:rPr>
            <a:t>1</a:t>
          </a:r>
        </a:p>
      </xdr:txBody>
    </xdr:sp>
    <xdr:clientData/>
  </xdr:twoCellAnchor>
  <mc:AlternateContent xmlns:mc="http://schemas.openxmlformats.org/markup-compatibility/2006">
    <mc:Choice xmlns:a14="http://schemas.microsoft.com/office/drawing/2010/main" Requires="a14">
      <xdr:twoCellAnchor editAs="oneCell">
        <xdr:from>
          <xdr:col>4</xdr:col>
          <xdr:colOff>0</xdr:colOff>
          <xdr:row>7</xdr:row>
          <xdr:rowOff>190500</xdr:rowOff>
        </xdr:from>
        <xdr:to>
          <xdr:col>5</xdr:col>
          <xdr:colOff>76200</xdr:colOff>
          <xdr:row>8</xdr:row>
          <xdr:rowOff>190500</xdr:rowOff>
        </xdr:to>
        <xdr:sp macro="" textlink="">
          <xdr:nvSpPr>
            <xdr:cNvPr id="715085" name="Drop Down 3405" hidden="1">
              <a:extLst>
                <a:ext uri="{63B3BB69-23CF-44E3-9099-C40C66FF867C}">
                  <a14:compatExt spid="_x0000_s715085"/>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24</xdr:row>
          <xdr:rowOff>247649</xdr:rowOff>
        </xdr:from>
        <xdr:to>
          <xdr:col>17</xdr:col>
          <xdr:colOff>141358</xdr:colOff>
          <xdr:row>45</xdr:row>
          <xdr:rowOff>104774</xdr:rowOff>
        </xdr:to>
        <xdr:pic>
          <xdr:nvPicPr>
            <xdr:cNvPr id="65" name="Picture 8888"/>
            <xdr:cNvPicPr>
              <a:picLocks noChangeAspect="1" noChangeArrowheads="1"/>
              <a:extLst>
                <a:ext uri="{84589F7E-364E-4C9E-8A38-B11213B215E9}">
                  <a14:cameraTool cellRange="PICTURE2" spid="_x0000_s736456"/>
                </a:ext>
              </a:extLst>
            </xdr:cNvPicPr>
          </xdr:nvPicPr>
          <xdr:blipFill>
            <a:blip xmlns:r="http://schemas.openxmlformats.org/officeDocument/2006/relationships" r:embed="rId9"/>
            <a:srcRect/>
            <a:stretch>
              <a:fillRect/>
            </a:stretch>
          </xdr:blipFill>
          <xdr:spPr bwMode="auto">
            <a:xfrm>
              <a:off x="3962400" y="5448299"/>
              <a:ext cx="6685033" cy="4124325"/>
            </a:xfrm>
            <a:prstGeom prst="rect">
              <a:avLst/>
            </a:prstGeom>
            <a:noFill/>
            <a:ln w="15875">
              <a:noFill/>
              <a:miter lim="800000"/>
              <a:headEnd/>
              <a:tailEnd/>
            </a:ln>
            <a:extLst>
              <a:ext uri="{909E8E84-426E-40DD-AFC4-6F175D3DCCD1}">
                <a14:hiddenFill>
                  <a:solidFill>
                    <a:srgbClr val="FFFFFF" mc:Ignorable="a14" a14:legacySpreadsheetColorIndex="65"/>
                  </a:solidFill>
                </a14:hiddenFill>
              </a:ext>
            </a:extLst>
          </xdr:spPr>
        </xdr:pic>
        <xdr:clientData/>
      </xdr:twoCellAnchor>
    </mc:Choice>
    <mc:Fallback/>
  </mc:AlternateContent>
</xdr:wsDr>
</file>

<file path=xl/drawings/drawing10.xml><?xml version="1.0" encoding="utf-8"?>
<c:userShapes xmlns:c="http://schemas.openxmlformats.org/drawingml/2006/chart">
  <cdr:relSizeAnchor xmlns:cdr="http://schemas.openxmlformats.org/drawingml/2006/chartDrawing">
    <cdr:from>
      <cdr:x>0.16877</cdr:x>
      <cdr:y>0.12917</cdr:y>
    </cdr:from>
    <cdr:to>
      <cdr:x>0.23482</cdr:x>
      <cdr:y>0.16636</cdr:y>
    </cdr:to>
    <cdr:sp macro="" textlink="'Variable Mgmt'!$B$256">
      <cdr:nvSpPr>
        <cdr:cNvPr id="2" name="Text Box 24"/>
        <cdr:cNvSpPr txBox="1">
          <a:spLocks xmlns:a="http://schemas.openxmlformats.org/drawingml/2006/main" noChangeArrowheads="1" noTextEdit="1"/>
        </cdr:cNvSpPr>
      </cdr:nvSpPr>
      <cdr:spPr bwMode="auto">
        <a:xfrm xmlns:a="http://schemas.openxmlformats.org/drawingml/2006/main">
          <a:off x="1403360" y="665601"/>
          <a:ext cx="549265" cy="19165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27432" tIns="22860" rIns="0" bIns="22860" anchor="b"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fld id="{FB7B9190-533F-41A0-B9F6-41424F4E3D27}" type="TxLink">
            <a:rPr lang="en-US" sz="1100" b="0" i="0" u="none" strike="noStrike" baseline="0">
              <a:solidFill>
                <a:srgbClr val="000000"/>
              </a:solidFill>
              <a:latin typeface="Arial"/>
              <a:cs typeface="Arial"/>
            </a:rPr>
            <a:pPr algn="l" rtl="0">
              <a:defRPr sz="1000"/>
            </a:pPr>
            <a:t>84.9%</a:t>
          </a:fld>
          <a:endParaRPr lang="en-US" sz="1100" b="1" i="0" u="none" strike="noStrike" baseline="0">
            <a:solidFill>
              <a:srgbClr val="000000"/>
            </a:solidFill>
            <a:latin typeface="Arial" pitchFamily="34" charset="0"/>
            <a:cs typeface="Arial" pitchFamily="34" charset="0"/>
          </a:endParaRPr>
        </a:p>
      </cdr:txBody>
    </cdr:sp>
  </cdr:relSizeAnchor>
</c:userShapes>
</file>

<file path=xl/drawings/drawing11.xml><?xml version="1.0" encoding="utf-8"?>
<xdr:wsDr xmlns:xdr="http://schemas.openxmlformats.org/drawingml/2006/spreadsheetDrawing" xmlns:a="http://schemas.openxmlformats.org/drawingml/2006/main">
  <xdr:twoCellAnchor>
    <xdr:from>
      <xdr:col>3</xdr:col>
      <xdr:colOff>38100</xdr:colOff>
      <xdr:row>6</xdr:row>
      <xdr:rowOff>819150</xdr:rowOff>
    </xdr:from>
    <xdr:to>
      <xdr:col>3</xdr:col>
      <xdr:colOff>561974</xdr:colOff>
      <xdr:row>6</xdr:row>
      <xdr:rowOff>1019175</xdr:rowOff>
    </xdr:to>
    <xdr:sp macro="" textlink="'Variable Mgmt'!$B$254">
      <xdr:nvSpPr>
        <xdr:cNvPr id="5" name="Text Box 24"/>
        <xdr:cNvSpPr txBox="1">
          <a:spLocks noChangeArrowheads="1" noTextEdit="1"/>
        </xdr:cNvSpPr>
      </xdr:nvSpPr>
      <xdr:spPr bwMode="auto">
        <a:xfrm>
          <a:off x="9686925" y="6934200"/>
          <a:ext cx="523874" cy="200025"/>
        </a:xfrm>
        <a:prstGeom prst="rect">
          <a:avLst/>
        </a:prstGeom>
        <a:solidFill>
          <a:schemeClr val="bg1"/>
        </a:solidFill>
        <a:ln w="9525">
          <a:noFill/>
          <a:miter lim="800000"/>
          <a:headEnd/>
          <a:tailEnd/>
        </a:ln>
      </xdr:spPr>
      <xdr:txBody>
        <a:bodyPr wrap="square" lIns="27432" tIns="22860" rIns="0" bIns="22860" anchor="b"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r" rtl="0">
            <a:defRPr sz="1000"/>
          </a:pPr>
          <a:fld id="{1F0AFB1C-0795-4024-9821-D34D86340D40}" type="TxLink">
            <a:rPr lang="en-US" sz="1100" b="0" i="0" u="none" strike="noStrike" baseline="0">
              <a:solidFill>
                <a:srgbClr val="000000"/>
              </a:solidFill>
              <a:latin typeface="Arial"/>
              <a:cs typeface="Arial"/>
            </a:rPr>
            <a:pPr algn="r" rtl="0">
              <a:defRPr sz="1000"/>
            </a:pPr>
            <a:t>88.4%</a:t>
          </a:fld>
          <a:endParaRPr lang="en-US" sz="1100" b="1" i="0" u="none" strike="noStrike" baseline="0">
            <a:solidFill>
              <a:srgbClr val="000000"/>
            </a:solidFill>
            <a:latin typeface="Arial" pitchFamily="34" charset="0"/>
            <a:cs typeface="Arial" pitchFamily="34" charset="0"/>
          </a:endParaRPr>
        </a:p>
      </xdr:txBody>
    </xdr:sp>
    <xdr:clientData/>
  </xdr:twoCellAnchor>
  <xdr:twoCellAnchor>
    <xdr:from>
      <xdr:col>3</xdr:col>
      <xdr:colOff>19050</xdr:colOff>
      <xdr:row>4</xdr:row>
      <xdr:rowOff>704850</xdr:rowOff>
    </xdr:from>
    <xdr:to>
      <xdr:col>3</xdr:col>
      <xdr:colOff>542924</xdr:colOff>
      <xdr:row>4</xdr:row>
      <xdr:rowOff>904875</xdr:rowOff>
    </xdr:to>
    <xdr:sp macro="" textlink="'Variable Mgmt'!$B$254">
      <xdr:nvSpPr>
        <xdr:cNvPr id="6" name="Text Box 24"/>
        <xdr:cNvSpPr txBox="1">
          <a:spLocks noChangeArrowheads="1" noTextEdit="1"/>
        </xdr:cNvSpPr>
      </xdr:nvSpPr>
      <xdr:spPr bwMode="auto">
        <a:xfrm>
          <a:off x="9667875" y="1409700"/>
          <a:ext cx="523874" cy="200025"/>
        </a:xfrm>
        <a:prstGeom prst="rect">
          <a:avLst/>
        </a:prstGeom>
        <a:noFill/>
        <a:ln w="9525">
          <a:noFill/>
          <a:miter lim="800000"/>
          <a:headEnd/>
          <a:tailEnd/>
        </a:ln>
      </xdr:spPr>
      <xdr:txBody>
        <a:bodyPr wrap="square" lIns="27432" tIns="22860" rIns="0" bIns="22860" anchor="b"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r" rtl="0">
            <a:defRPr sz="1000"/>
          </a:pPr>
          <a:fld id="{1F0AFB1C-0795-4024-9821-D34D86340D40}" type="TxLink">
            <a:rPr lang="en-US" sz="1100" b="0" i="0" u="none" strike="noStrike" baseline="0">
              <a:solidFill>
                <a:srgbClr val="000000"/>
              </a:solidFill>
              <a:latin typeface="Arial"/>
              <a:cs typeface="Arial"/>
            </a:rPr>
            <a:pPr algn="r" rtl="0">
              <a:defRPr sz="1000"/>
            </a:pPr>
            <a:t>88.4%</a:t>
          </a:fld>
          <a:endParaRPr lang="en-US" sz="1100" b="1" i="0" u="none" strike="noStrike" baseline="0">
            <a:solidFill>
              <a:srgbClr val="000000"/>
            </a:solidFill>
            <a:latin typeface="Arial" pitchFamily="34" charset="0"/>
            <a:cs typeface="Arial" pitchFamily="34" charset="0"/>
          </a:endParaRPr>
        </a:p>
      </xdr:txBody>
    </xdr:sp>
    <xdr:clientData/>
  </xdr:twoCellAnchor>
  <xdr:twoCellAnchor>
    <xdr:from>
      <xdr:col>1</xdr:col>
      <xdr:colOff>1</xdr:colOff>
      <xdr:row>4</xdr:row>
      <xdr:rowOff>0</xdr:rowOff>
    </xdr:from>
    <xdr:to>
      <xdr:col>1</xdr:col>
      <xdr:colOff>8275321</xdr:colOff>
      <xdr:row>4</xdr:row>
      <xdr:rowOff>5029200</xdr:rowOff>
    </xdr:to>
    <xdr:graphicFrame macro="">
      <xdr:nvGraphicFramePr>
        <xdr:cNvPr id="8" name="Chart 25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6</xdr:row>
      <xdr:rowOff>0</xdr:rowOff>
    </xdr:from>
    <xdr:to>
      <xdr:col>1</xdr:col>
      <xdr:colOff>8275320</xdr:colOff>
      <xdr:row>6</xdr:row>
      <xdr:rowOff>5029200</xdr:rowOff>
    </xdr:to>
    <xdr:graphicFrame macro="">
      <xdr:nvGraphicFramePr>
        <xdr:cNvPr id="7" name="Chart 25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mc:AlternateContent xmlns:mc="http://schemas.openxmlformats.org/markup-compatibility/2006">
    <mc:Choice xmlns:a14="http://schemas.microsoft.com/office/drawing/2010/main" Requires="a14">
      <xdr:twoCellAnchor editAs="oneCell">
        <xdr:from>
          <xdr:col>5</xdr:col>
          <xdr:colOff>0</xdr:colOff>
          <xdr:row>4</xdr:row>
          <xdr:rowOff>0</xdr:rowOff>
        </xdr:from>
        <xdr:to>
          <xdr:col>16</xdr:col>
          <xdr:colOff>18166</xdr:colOff>
          <xdr:row>4</xdr:row>
          <xdr:rowOff>4138092</xdr:rowOff>
        </xdr:to>
        <xdr:pic>
          <xdr:nvPicPr>
            <xdr:cNvPr id="9" name="Picture 8888"/>
            <xdr:cNvPicPr>
              <a:picLocks noChangeAspect="1" noChangeArrowheads="1"/>
              <a:extLst>
                <a:ext uri="{84589F7E-364E-4C9E-8A38-B11213B215E9}">
                  <a14:cameraTool cellRange="PICTURE3" spid="_x0000_s729352"/>
                </a:ext>
              </a:extLst>
            </xdr:cNvPicPr>
          </xdr:nvPicPr>
          <xdr:blipFill>
            <a:blip xmlns:r="http://schemas.openxmlformats.org/officeDocument/2006/relationships" r:embed="rId3"/>
            <a:srcRect/>
            <a:stretch>
              <a:fillRect/>
            </a:stretch>
          </xdr:blipFill>
          <xdr:spPr bwMode="auto">
            <a:xfrm>
              <a:off x="10868025" y="704850"/>
              <a:ext cx="6723766" cy="4138092"/>
            </a:xfrm>
            <a:prstGeom prst="rect">
              <a:avLst/>
            </a:prstGeom>
            <a:noFill/>
            <a:ln w="15875">
              <a:noFill/>
              <a:miter lim="800000"/>
              <a:headEnd/>
              <a:tailEnd/>
            </a:ln>
            <a:extLst>
              <a:ext uri="{909E8E84-426E-40DD-AFC4-6F175D3DCCD1}">
                <a14:hiddenFill>
                  <a:solidFill>
                    <a:srgbClr val="FFFFFF" mc:Ignorable="a14" a14:legacySpreadsheetColorIndex="65"/>
                  </a:solidFill>
                </a14:hiddenFill>
              </a:ext>
            </a:extLst>
          </xdr:spPr>
        </xdr:pic>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0</xdr:colOff>
          <xdr:row>4</xdr:row>
          <xdr:rowOff>0</xdr:rowOff>
        </xdr:from>
        <xdr:to>
          <xdr:col>18</xdr:col>
          <xdr:colOff>504825</xdr:colOff>
          <xdr:row>5</xdr:row>
          <xdr:rowOff>0</xdr:rowOff>
        </xdr:to>
        <xdr:pic>
          <xdr:nvPicPr>
            <xdr:cNvPr id="6" name="Picture 8888"/>
            <xdr:cNvPicPr>
              <a:picLocks noChangeAspect="1" noChangeArrowheads="1"/>
              <a:extLst>
                <a:ext uri="{84589F7E-364E-4C9E-8A38-B11213B215E9}">
                  <a14:cameraTool cellRange="PICTURE2" spid="_x0000_s733447"/>
                </a:ext>
              </a:extLst>
            </xdr:cNvPicPr>
          </xdr:nvPicPr>
          <xdr:blipFill>
            <a:blip xmlns:r="http://schemas.openxmlformats.org/officeDocument/2006/relationships" r:embed="rId1"/>
            <a:srcRect/>
            <a:stretch>
              <a:fillRect/>
            </a:stretch>
          </xdr:blipFill>
          <xdr:spPr bwMode="auto">
            <a:xfrm>
              <a:off x="10868025" y="704850"/>
              <a:ext cx="8429625" cy="5200650"/>
            </a:xfrm>
            <a:prstGeom prst="rect">
              <a:avLst/>
            </a:prstGeom>
            <a:noFill/>
            <a:ln w="15875">
              <a:noFill/>
              <a:miter lim="800000"/>
              <a:headEnd/>
              <a:tailEnd/>
            </a:ln>
            <a:extLst>
              <a:ext uri="{909E8E84-426E-40DD-AFC4-6F175D3DCCD1}">
                <a14:hiddenFill>
                  <a:solidFill>
                    <a:srgbClr val="FFFFFF" mc:Ignorable="a14" a14:legacySpreadsheetColorIndex="65"/>
                  </a:solidFill>
                </a14:hiddenFill>
              </a:ext>
            </a:extLst>
          </xdr:spPr>
        </xdr:pic>
        <xdr:clientData/>
      </xdr:twoCellAnchor>
    </mc:Choice>
    <mc:Fallback/>
  </mc:AlternateContent>
  <xdr:twoCellAnchor>
    <xdr:from>
      <xdr:col>1</xdr:col>
      <xdr:colOff>1</xdr:colOff>
      <xdr:row>4</xdr:row>
      <xdr:rowOff>0</xdr:rowOff>
    </xdr:from>
    <xdr:to>
      <xdr:col>1</xdr:col>
      <xdr:colOff>8275321</xdr:colOff>
      <xdr:row>4</xdr:row>
      <xdr:rowOff>5029200</xdr:rowOff>
    </xdr:to>
    <xdr:graphicFrame macro="">
      <xdr:nvGraphicFramePr>
        <xdr:cNvPr id="7" name="Chart 253"/>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xdr:colOff>
      <xdr:row>6</xdr:row>
      <xdr:rowOff>19049</xdr:rowOff>
    </xdr:from>
    <xdr:to>
      <xdr:col>1</xdr:col>
      <xdr:colOff>8277225</xdr:colOff>
      <xdr:row>6</xdr:row>
      <xdr:rowOff>5048249</xdr:rowOff>
    </xdr:to>
    <xdr:graphicFrame macro="">
      <xdr:nvGraphicFramePr>
        <xdr:cNvPr id="8" name="Chart 253"/>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15</xdr:col>
      <xdr:colOff>752475</xdr:colOff>
      <xdr:row>30</xdr:row>
      <xdr:rowOff>85725</xdr:rowOff>
    </xdr:from>
    <xdr:to>
      <xdr:col>15</xdr:col>
      <xdr:colOff>1200150</xdr:colOff>
      <xdr:row>31</xdr:row>
      <xdr:rowOff>133350</xdr:rowOff>
    </xdr:to>
    <xdr:sp macro="" textlink="">
      <xdr:nvSpPr>
        <xdr:cNvPr id="3" name="Text Box 2"/>
        <xdr:cNvSpPr txBox="1">
          <a:spLocks noChangeArrowheads="1"/>
        </xdr:cNvSpPr>
      </xdr:nvSpPr>
      <xdr:spPr bwMode="auto">
        <a:xfrm>
          <a:off x="16906875" y="13973175"/>
          <a:ext cx="0" cy="219075"/>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strike="noStrike">
              <a:solidFill>
                <a:srgbClr val="0000FF"/>
              </a:solidFill>
              <a:latin typeface="Arial"/>
              <a:cs typeface="Arial"/>
            </a:rPr>
            <a:t>V</a:t>
          </a:r>
          <a:r>
            <a:rPr lang="en-US" sz="1000" b="1" i="0" strike="noStrike" baseline="-25000">
              <a:solidFill>
                <a:srgbClr val="0000FF"/>
              </a:solidFill>
              <a:latin typeface="Arial"/>
              <a:cs typeface="Arial"/>
            </a:rPr>
            <a:t>OUT</a:t>
          </a:r>
        </a:p>
      </xdr:txBody>
    </xdr:sp>
    <xdr:clientData/>
  </xdr:twoCellAnchor>
  <xdr:twoCellAnchor>
    <xdr:from>
      <xdr:col>15</xdr:col>
      <xdr:colOff>752475</xdr:colOff>
      <xdr:row>31</xdr:row>
      <xdr:rowOff>104775</xdr:rowOff>
    </xdr:from>
    <xdr:to>
      <xdr:col>15</xdr:col>
      <xdr:colOff>1181100</xdr:colOff>
      <xdr:row>32</xdr:row>
      <xdr:rowOff>152400</xdr:rowOff>
    </xdr:to>
    <xdr:sp macro="" textlink="">
      <xdr:nvSpPr>
        <xdr:cNvPr id="4" name="Text Box 3"/>
        <xdr:cNvSpPr txBox="1">
          <a:spLocks noChangeArrowheads="1" noTextEdit="1"/>
        </xdr:cNvSpPr>
      </xdr:nvSpPr>
      <xdr:spPr bwMode="auto">
        <a:xfrm>
          <a:off x="16906875" y="14163675"/>
          <a:ext cx="0" cy="219075"/>
        </a:xfrm>
        <a:prstGeom prst="rect">
          <a:avLst/>
        </a:prstGeom>
        <a:noFill/>
        <a:ln w="9525">
          <a:noFill/>
          <a:miter lim="800000"/>
          <a:headEnd/>
          <a:tailEnd/>
        </a:ln>
      </xdr:spPr>
      <xdr:txBody>
        <a:bodyPr vertOverflow="clip" wrap="square" lIns="27432" tIns="22860" rIns="0" bIns="0" anchor="t" upright="1"/>
        <a:lstStyle/>
        <a:p>
          <a:pPr algn="l" rtl="0">
            <a:defRPr sz="1000"/>
          </a:pPr>
          <a:fld id="{0F8B8801-C5EA-4FBD-95F5-162EB7ADACC8}" type="TxLink">
            <a:rPr lang="en-US" sz="1000" b="1" i="0" u="none" strike="noStrike">
              <a:solidFill>
                <a:srgbClr val="0000FF"/>
              </a:solidFill>
              <a:latin typeface="Arial"/>
              <a:cs typeface="Arial"/>
            </a:rPr>
            <a:pPr algn="l" rtl="0">
              <a:defRPr sz="1000"/>
            </a:pPr>
            <a:t>1.2V</a:t>
          </a:fld>
          <a:endParaRPr lang="en-US" sz="1000" b="1" i="0" strike="noStrike">
            <a:solidFill>
              <a:srgbClr val="0000FF"/>
            </a:solidFill>
            <a:latin typeface="Arial"/>
            <a:cs typeface="Arial"/>
          </a:endParaRPr>
        </a:p>
      </xdr:txBody>
    </xdr:sp>
    <xdr:clientData/>
  </xdr:twoCellAnchor>
  <xdr:twoCellAnchor>
    <xdr:from>
      <xdr:col>16</xdr:col>
      <xdr:colOff>0</xdr:colOff>
      <xdr:row>34</xdr:row>
      <xdr:rowOff>142875</xdr:rowOff>
    </xdr:from>
    <xdr:to>
      <xdr:col>16</xdr:col>
      <xdr:colOff>0</xdr:colOff>
      <xdr:row>36</xdr:row>
      <xdr:rowOff>152400</xdr:rowOff>
    </xdr:to>
    <xdr:grpSp>
      <xdr:nvGrpSpPr>
        <xdr:cNvPr id="5" name="Group 25"/>
        <xdr:cNvGrpSpPr>
          <a:grpSpLocks/>
        </xdr:cNvGrpSpPr>
      </xdr:nvGrpSpPr>
      <xdr:grpSpPr bwMode="auto">
        <a:xfrm>
          <a:off x="33108900" y="65131950"/>
          <a:ext cx="0" cy="4333875"/>
          <a:chOff x="953" y="747"/>
          <a:chExt cx="76" cy="41"/>
        </a:xfrm>
      </xdr:grpSpPr>
      <xdr:sp macro="" textlink="">
        <xdr:nvSpPr>
          <xdr:cNvPr id="6" name="Text Box 26"/>
          <xdr:cNvSpPr txBox="1">
            <a:spLocks noChangeArrowheads="1"/>
          </xdr:cNvSpPr>
        </xdr:nvSpPr>
        <xdr:spPr bwMode="auto">
          <a:xfrm>
            <a:off x="16906875" y="-6462072205698"/>
            <a:ext cx="0" cy="21"/>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strike="noStrike">
                <a:solidFill>
                  <a:srgbClr val="0000FF"/>
                </a:solidFill>
                <a:latin typeface="Arial"/>
                <a:cs typeface="Arial"/>
              </a:rPr>
              <a:t>C</a:t>
            </a:r>
            <a:r>
              <a:rPr lang="en-US" sz="1000" b="1" i="0" strike="noStrike" baseline="-25000">
                <a:solidFill>
                  <a:srgbClr val="0000FF"/>
                </a:solidFill>
                <a:latin typeface="Arial"/>
                <a:cs typeface="Arial"/>
              </a:rPr>
              <a:t>OUT</a:t>
            </a:r>
          </a:p>
        </xdr:txBody>
      </xdr:sp>
      <xdr:sp macro="" textlink="">
        <xdr:nvSpPr>
          <xdr:cNvPr id="7" name="Text Box 27"/>
          <xdr:cNvSpPr txBox="1">
            <a:spLocks noChangeArrowheads="1" noTextEdit="1"/>
          </xdr:cNvSpPr>
        </xdr:nvSpPr>
        <xdr:spPr bwMode="auto">
          <a:xfrm>
            <a:off x="16906875" y="-11225863852848"/>
            <a:ext cx="0" cy="21"/>
          </a:xfrm>
          <a:prstGeom prst="rect">
            <a:avLst/>
          </a:prstGeom>
          <a:noFill/>
          <a:ln w="9525">
            <a:noFill/>
            <a:miter lim="800000"/>
            <a:headEnd/>
            <a:tailEnd/>
          </a:ln>
        </xdr:spPr>
        <xdr:txBody>
          <a:bodyPr vertOverflow="clip" wrap="square" lIns="27432" tIns="22860" rIns="0" bIns="0" anchor="t" upright="1"/>
          <a:lstStyle/>
          <a:p>
            <a:pPr algn="l" rtl="0">
              <a:defRPr sz="1000"/>
            </a:pPr>
            <a:fld id="{FA2B5858-D1A0-4A0D-80A7-2946C710A8EC}" type="TxLink">
              <a:rPr lang="en-US" sz="1000" b="1" i="0" u="none" strike="noStrike">
                <a:solidFill>
                  <a:srgbClr val="0000FF"/>
                </a:solidFill>
                <a:latin typeface="Arial"/>
                <a:cs typeface="Arial"/>
              </a:rPr>
              <a:pPr algn="l" rtl="0">
                <a:defRPr sz="1000"/>
              </a:pPr>
              <a:t>140µF</a:t>
            </a:fld>
            <a:endParaRPr lang="en-US" sz="1000" b="1" i="0" strike="noStrike">
              <a:solidFill>
                <a:srgbClr val="0000FF"/>
              </a:solidFill>
              <a:latin typeface="Arial"/>
              <a:cs typeface="Arial"/>
            </a:endParaRPr>
          </a:p>
        </xdr:txBody>
      </xdr:sp>
    </xdr:grpSp>
    <xdr:clientData/>
  </xdr:twoCellAnchor>
  <xdr:twoCellAnchor editAs="oneCell">
    <xdr:from>
      <xdr:col>3</xdr:col>
      <xdr:colOff>609599</xdr:colOff>
      <xdr:row>6</xdr:row>
      <xdr:rowOff>0</xdr:rowOff>
    </xdr:from>
    <xdr:to>
      <xdr:col>4</xdr:col>
      <xdr:colOff>8229599</xdr:colOff>
      <xdr:row>6</xdr:row>
      <xdr:rowOff>4480726</xdr:rowOff>
    </xdr:to>
    <xdr:pic>
      <xdr:nvPicPr>
        <xdr:cNvPr id="82" name="Picture 8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382249" y="1028700"/>
          <a:ext cx="8229600" cy="44807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609599</xdr:colOff>
      <xdr:row>6</xdr:row>
      <xdr:rowOff>0</xdr:rowOff>
    </xdr:from>
    <xdr:to>
      <xdr:col>7</xdr:col>
      <xdr:colOff>8229599</xdr:colOff>
      <xdr:row>6</xdr:row>
      <xdr:rowOff>4480726</xdr:rowOff>
    </xdr:to>
    <xdr:pic>
      <xdr:nvPicPr>
        <xdr:cNvPr id="84" name="Picture 8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916774" y="1028700"/>
          <a:ext cx="8229600" cy="44807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847724</xdr:colOff>
      <xdr:row>8</xdr:row>
      <xdr:rowOff>0</xdr:rowOff>
    </xdr:from>
    <xdr:to>
      <xdr:col>1</xdr:col>
      <xdr:colOff>8229599</xdr:colOff>
      <xdr:row>8</xdr:row>
      <xdr:rowOff>4480726</xdr:rowOff>
    </xdr:to>
    <xdr:pic>
      <xdr:nvPicPr>
        <xdr:cNvPr id="51" name="Picture 50"/>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47724" y="5781675"/>
          <a:ext cx="8229600" cy="44807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847724</xdr:colOff>
      <xdr:row>10</xdr:row>
      <xdr:rowOff>0</xdr:rowOff>
    </xdr:from>
    <xdr:to>
      <xdr:col>1</xdr:col>
      <xdr:colOff>8229599</xdr:colOff>
      <xdr:row>10</xdr:row>
      <xdr:rowOff>4480726</xdr:rowOff>
    </xdr:to>
    <xdr:pic>
      <xdr:nvPicPr>
        <xdr:cNvPr id="52" name="Picture 51"/>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47724" y="10572750"/>
          <a:ext cx="8229600" cy="44807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843642</xdr:colOff>
      <xdr:row>12</xdr:row>
      <xdr:rowOff>0</xdr:rowOff>
    </xdr:from>
    <xdr:to>
      <xdr:col>1</xdr:col>
      <xdr:colOff>8229599</xdr:colOff>
      <xdr:row>12</xdr:row>
      <xdr:rowOff>4480726</xdr:rowOff>
    </xdr:to>
    <xdr:pic>
      <xdr:nvPicPr>
        <xdr:cNvPr id="53" name="Picture 52"/>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43642" y="15267214"/>
          <a:ext cx="8229600" cy="44807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843642</xdr:colOff>
      <xdr:row>14</xdr:row>
      <xdr:rowOff>-1</xdr:rowOff>
    </xdr:from>
    <xdr:to>
      <xdr:col>1</xdr:col>
      <xdr:colOff>8229599</xdr:colOff>
      <xdr:row>14</xdr:row>
      <xdr:rowOff>4480725</xdr:rowOff>
    </xdr:to>
    <xdr:pic>
      <xdr:nvPicPr>
        <xdr:cNvPr id="73" name="Picture 72"/>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3642" y="19961678"/>
          <a:ext cx="8229600" cy="44807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843642</xdr:colOff>
      <xdr:row>6</xdr:row>
      <xdr:rowOff>0</xdr:rowOff>
    </xdr:from>
    <xdr:to>
      <xdr:col>1</xdr:col>
      <xdr:colOff>8229599</xdr:colOff>
      <xdr:row>6</xdr:row>
      <xdr:rowOff>4480726</xdr:rowOff>
    </xdr:to>
    <xdr:pic>
      <xdr:nvPicPr>
        <xdr:cNvPr id="76" name="Picture 75"/>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43642" y="1034143"/>
          <a:ext cx="8229600" cy="44807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843642</xdr:colOff>
      <xdr:row>16</xdr:row>
      <xdr:rowOff>0</xdr:rowOff>
    </xdr:from>
    <xdr:to>
      <xdr:col>1</xdr:col>
      <xdr:colOff>8229599</xdr:colOff>
      <xdr:row>16</xdr:row>
      <xdr:rowOff>4480726</xdr:rowOff>
    </xdr:to>
    <xdr:pic>
      <xdr:nvPicPr>
        <xdr:cNvPr id="77" name="Picture 76"/>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843642" y="24656143"/>
          <a:ext cx="8229600" cy="44807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843642</xdr:colOff>
      <xdr:row>18</xdr:row>
      <xdr:rowOff>0</xdr:rowOff>
    </xdr:from>
    <xdr:to>
      <xdr:col>1</xdr:col>
      <xdr:colOff>8229599</xdr:colOff>
      <xdr:row>18</xdr:row>
      <xdr:rowOff>4480726</xdr:rowOff>
    </xdr:to>
    <xdr:pic>
      <xdr:nvPicPr>
        <xdr:cNvPr id="85" name="Picture 84"/>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843642" y="29337000"/>
          <a:ext cx="8229600" cy="44807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843642</xdr:colOff>
      <xdr:row>20</xdr:row>
      <xdr:rowOff>0</xdr:rowOff>
    </xdr:from>
    <xdr:to>
      <xdr:col>1</xdr:col>
      <xdr:colOff>8229599</xdr:colOff>
      <xdr:row>20</xdr:row>
      <xdr:rowOff>4480726</xdr:rowOff>
    </xdr:to>
    <xdr:pic>
      <xdr:nvPicPr>
        <xdr:cNvPr id="86" name="Picture 85"/>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3642" y="33949821"/>
          <a:ext cx="8229600" cy="44807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612320</xdr:colOff>
      <xdr:row>8</xdr:row>
      <xdr:rowOff>0</xdr:rowOff>
    </xdr:from>
    <xdr:to>
      <xdr:col>4</xdr:col>
      <xdr:colOff>8229599</xdr:colOff>
      <xdr:row>8</xdr:row>
      <xdr:rowOff>4480726</xdr:rowOff>
    </xdr:to>
    <xdr:pic>
      <xdr:nvPicPr>
        <xdr:cNvPr id="17" name="Picture 16"/>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0382249" y="5783036"/>
          <a:ext cx="8229600" cy="44807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612320</xdr:colOff>
      <xdr:row>10</xdr:row>
      <xdr:rowOff>0</xdr:rowOff>
    </xdr:from>
    <xdr:to>
      <xdr:col>4</xdr:col>
      <xdr:colOff>8229599</xdr:colOff>
      <xdr:row>10</xdr:row>
      <xdr:rowOff>4480726</xdr:rowOff>
    </xdr:to>
    <xdr:pic>
      <xdr:nvPicPr>
        <xdr:cNvPr id="19" name="Picture 18"/>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0382249" y="10477500"/>
          <a:ext cx="8229600" cy="44807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612320</xdr:colOff>
      <xdr:row>12</xdr:row>
      <xdr:rowOff>0</xdr:rowOff>
    </xdr:from>
    <xdr:to>
      <xdr:col>4</xdr:col>
      <xdr:colOff>8229599</xdr:colOff>
      <xdr:row>12</xdr:row>
      <xdr:rowOff>4480726</xdr:rowOff>
    </xdr:to>
    <xdr:pic>
      <xdr:nvPicPr>
        <xdr:cNvPr id="20" name="Picture 19"/>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10382249" y="15171964"/>
          <a:ext cx="8229600" cy="44807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612320</xdr:colOff>
      <xdr:row>14</xdr:row>
      <xdr:rowOff>0</xdr:rowOff>
    </xdr:from>
    <xdr:to>
      <xdr:col>4</xdr:col>
      <xdr:colOff>8229599</xdr:colOff>
      <xdr:row>14</xdr:row>
      <xdr:rowOff>4480726</xdr:rowOff>
    </xdr:to>
    <xdr:pic>
      <xdr:nvPicPr>
        <xdr:cNvPr id="21" name="Picture 20"/>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382249" y="19866429"/>
          <a:ext cx="8229600" cy="44807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612320</xdr:colOff>
      <xdr:row>16</xdr:row>
      <xdr:rowOff>0</xdr:rowOff>
    </xdr:from>
    <xdr:to>
      <xdr:col>4</xdr:col>
      <xdr:colOff>8229599</xdr:colOff>
      <xdr:row>16</xdr:row>
      <xdr:rowOff>4480726</xdr:rowOff>
    </xdr:to>
    <xdr:pic>
      <xdr:nvPicPr>
        <xdr:cNvPr id="22" name="Picture 21"/>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10382249" y="24560893"/>
          <a:ext cx="8229600" cy="44807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612320</xdr:colOff>
      <xdr:row>18</xdr:row>
      <xdr:rowOff>0</xdr:rowOff>
    </xdr:from>
    <xdr:to>
      <xdr:col>4</xdr:col>
      <xdr:colOff>8229599</xdr:colOff>
      <xdr:row>18</xdr:row>
      <xdr:rowOff>4480726</xdr:rowOff>
    </xdr:to>
    <xdr:pic>
      <xdr:nvPicPr>
        <xdr:cNvPr id="23" name="Picture 22"/>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10382249" y="29241750"/>
          <a:ext cx="8229600" cy="44807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612320</xdr:colOff>
      <xdr:row>20</xdr:row>
      <xdr:rowOff>0</xdr:rowOff>
    </xdr:from>
    <xdr:to>
      <xdr:col>4</xdr:col>
      <xdr:colOff>8229599</xdr:colOff>
      <xdr:row>20</xdr:row>
      <xdr:rowOff>4480726</xdr:rowOff>
    </xdr:to>
    <xdr:pic>
      <xdr:nvPicPr>
        <xdr:cNvPr id="24" name="Picture 23"/>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0382249" y="33949821"/>
          <a:ext cx="8229600" cy="44807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xdr:colOff>
      <xdr:row>8</xdr:row>
      <xdr:rowOff>0</xdr:rowOff>
    </xdr:from>
    <xdr:to>
      <xdr:col>7</xdr:col>
      <xdr:colOff>8229599</xdr:colOff>
      <xdr:row>8</xdr:row>
      <xdr:rowOff>4480726</xdr:rowOff>
    </xdr:to>
    <xdr:pic>
      <xdr:nvPicPr>
        <xdr:cNvPr id="25" name="Picture 24"/>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19898590" y="5766955"/>
          <a:ext cx="8229600" cy="44807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xdr:colOff>
      <xdr:row>10</xdr:row>
      <xdr:rowOff>0</xdr:rowOff>
    </xdr:from>
    <xdr:to>
      <xdr:col>7</xdr:col>
      <xdr:colOff>8229599</xdr:colOff>
      <xdr:row>10</xdr:row>
      <xdr:rowOff>4480726</xdr:rowOff>
    </xdr:to>
    <xdr:pic>
      <xdr:nvPicPr>
        <xdr:cNvPr id="27" name="Picture 26"/>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19898590" y="10460182"/>
          <a:ext cx="8229600" cy="44807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xdr:colOff>
      <xdr:row>12</xdr:row>
      <xdr:rowOff>0</xdr:rowOff>
    </xdr:from>
    <xdr:to>
      <xdr:col>7</xdr:col>
      <xdr:colOff>8229599</xdr:colOff>
      <xdr:row>12</xdr:row>
      <xdr:rowOff>4480726</xdr:rowOff>
    </xdr:to>
    <xdr:pic>
      <xdr:nvPicPr>
        <xdr:cNvPr id="28" name="Picture 27"/>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9898590" y="15153409"/>
          <a:ext cx="8229600" cy="44807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xdr:colOff>
      <xdr:row>14</xdr:row>
      <xdr:rowOff>0</xdr:rowOff>
    </xdr:from>
    <xdr:to>
      <xdr:col>7</xdr:col>
      <xdr:colOff>8229599</xdr:colOff>
      <xdr:row>14</xdr:row>
      <xdr:rowOff>4480726</xdr:rowOff>
    </xdr:to>
    <xdr:pic>
      <xdr:nvPicPr>
        <xdr:cNvPr id="29" name="Picture 28"/>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19898590" y="19846636"/>
          <a:ext cx="8229600" cy="44807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xdr:colOff>
      <xdr:row>16</xdr:row>
      <xdr:rowOff>0</xdr:rowOff>
    </xdr:from>
    <xdr:to>
      <xdr:col>7</xdr:col>
      <xdr:colOff>8229599</xdr:colOff>
      <xdr:row>16</xdr:row>
      <xdr:rowOff>4480726</xdr:rowOff>
    </xdr:to>
    <xdr:pic>
      <xdr:nvPicPr>
        <xdr:cNvPr id="31" name="Picture 30"/>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19898590" y="24539864"/>
          <a:ext cx="8229600" cy="44807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xdr:colOff>
      <xdr:row>18</xdr:row>
      <xdr:rowOff>0</xdr:rowOff>
    </xdr:from>
    <xdr:to>
      <xdr:col>7</xdr:col>
      <xdr:colOff>8229599</xdr:colOff>
      <xdr:row>18</xdr:row>
      <xdr:rowOff>4480726</xdr:rowOff>
    </xdr:to>
    <xdr:pic>
      <xdr:nvPicPr>
        <xdr:cNvPr id="33" name="Picture 32"/>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19898590" y="29233091"/>
          <a:ext cx="8229600" cy="44807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xdr:colOff>
      <xdr:row>20</xdr:row>
      <xdr:rowOff>0</xdr:rowOff>
    </xdr:from>
    <xdr:to>
      <xdr:col>7</xdr:col>
      <xdr:colOff>8229599</xdr:colOff>
      <xdr:row>20</xdr:row>
      <xdr:rowOff>4480726</xdr:rowOff>
    </xdr:to>
    <xdr:pic>
      <xdr:nvPicPr>
        <xdr:cNvPr id="34" name="Picture 33"/>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19898590" y="33943636"/>
          <a:ext cx="8229600" cy="44807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0</xdr:colOff>
          <xdr:row>30</xdr:row>
          <xdr:rowOff>9525</xdr:rowOff>
        </xdr:from>
        <xdr:to>
          <xdr:col>6</xdr:col>
          <xdr:colOff>876300</xdr:colOff>
          <xdr:row>31</xdr:row>
          <xdr:rowOff>0</xdr:rowOff>
        </xdr:to>
        <xdr:sp macro="" textlink="">
          <xdr:nvSpPr>
            <xdr:cNvPr id="674505" name="Drop Down 713" hidden="1">
              <a:extLst>
                <a:ext uri="{63B3BB69-23CF-44E3-9099-C40C66FF867C}">
                  <a14:compatExt spid="_x0000_s6745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31</xdr:row>
          <xdr:rowOff>9525</xdr:rowOff>
        </xdr:from>
        <xdr:to>
          <xdr:col>6</xdr:col>
          <xdr:colOff>876300</xdr:colOff>
          <xdr:row>32</xdr:row>
          <xdr:rowOff>0</xdr:rowOff>
        </xdr:to>
        <xdr:sp macro="" textlink="">
          <xdr:nvSpPr>
            <xdr:cNvPr id="674508" name="Drop Down 716" hidden="1">
              <a:extLst>
                <a:ext uri="{63B3BB69-23CF-44E3-9099-C40C66FF867C}">
                  <a14:compatExt spid="_x0000_s6745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35</xdr:row>
          <xdr:rowOff>9525</xdr:rowOff>
        </xdr:from>
        <xdr:to>
          <xdr:col>6</xdr:col>
          <xdr:colOff>876300</xdr:colOff>
          <xdr:row>36</xdr:row>
          <xdr:rowOff>0</xdr:rowOff>
        </xdr:to>
        <xdr:sp macro="" textlink="">
          <xdr:nvSpPr>
            <xdr:cNvPr id="674527" name="Drop Down 735" hidden="1">
              <a:extLst>
                <a:ext uri="{63B3BB69-23CF-44E3-9099-C40C66FF867C}">
                  <a14:compatExt spid="_x0000_s6745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40</xdr:row>
          <xdr:rowOff>9525</xdr:rowOff>
        </xdr:from>
        <xdr:to>
          <xdr:col>6</xdr:col>
          <xdr:colOff>876300</xdr:colOff>
          <xdr:row>41</xdr:row>
          <xdr:rowOff>0</xdr:rowOff>
        </xdr:to>
        <xdr:sp macro="" textlink="">
          <xdr:nvSpPr>
            <xdr:cNvPr id="674534" name="Drop Down 742" hidden="1">
              <a:extLst>
                <a:ext uri="{63B3BB69-23CF-44E3-9099-C40C66FF867C}">
                  <a14:compatExt spid="_x0000_s6745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37</xdr:row>
          <xdr:rowOff>9525</xdr:rowOff>
        </xdr:from>
        <xdr:to>
          <xdr:col>6</xdr:col>
          <xdr:colOff>876300</xdr:colOff>
          <xdr:row>38</xdr:row>
          <xdr:rowOff>0</xdr:rowOff>
        </xdr:to>
        <xdr:sp macro="" textlink="">
          <xdr:nvSpPr>
            <xdr:cNvPr id="674536" name="Drop Down 744" hidden="1">
              <a:extLst>
                <a:ext uri="{63B3BB69-23CF-44E3-9099-C40C66FF867C}">
                  <a14:compatExt spid="_x0000_s6745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36</xdr:row>
          <xdr:rowOff>9525</xdr:rowOff>
        </xdr:from>
        <xdr:to>
          <xdr:col>6</xdr:col>
          <xdr:colOff>876300</xdr:colOff>
          <xdr:row>37</xdr:row>
          <xdr:rowOff>0</xdr:rowOff>
        </xdr:to>
        <xdr:sp macro="" textlink="">
          <xdr:nvSpPr>
            <xdr:cNvPr id="674539" name="Drop Down 747" hidden="1">
              <a:extLst>
                <a:ext uri="{63B3BB69-23CF-44E3-9099-C40C66FF867C}">
                  <a14:compatExt spid="_x0000_s6745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39</xdr:row>
          <xdr:rowOff>9525</xdr:rowOff>
        </xdr:from>
        <xdr:to>
          <xdr:col>6</xdr:col>
          <xdr:colOff>876300</xdr:colOff>
          <xdr:row>40</xdr:row>
          <xdr:rowOff>0</xdr:rowOff>
        </xdr:to>
        <xdr:sp macro="" textlink="">
          <xdr:nvSpPr>
            <xdr:cNvPr id="674540" name="Drop Down 748" hidden="1">
              <a:extLst>
                <a:ext uri="{63B3BB69-23CF-44E3-9099-C40C66FF867C}">
                  <a14:compatExt spid="_x0000_s6745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41</xdr:row>
          <xdr:rowOff>9525</xdr:rowOff>
        </xdr:from>
        <xdr:to>
          <xdr:col>6</xdr:col>
          <xdr:colOff>876300</xdr:colOff>
          <xdr:row>42</xdr:row>
          <xdr:rowOff>0</xdr:rowOff>
        </xdr:to>
        <xdr:sp macro="" textlink="">
          <xdr:nvSpPr>
            <xdr:cNvPr id="674541" name="Drop Down 749" hidden="1">
              <a:extLst>
                <a:ext uri="{63B3BB69-23CF-44E3-9099-C40C66FF867C}">
                  <a14:compatExt spid="_x0000_s6745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42</xdr:row>
          <xdr:rowOff>9525</xdr:rowOff>
        </xdr:from>
        <xdr:to>
          <xdr:col>6</xdr:col>
          <xdr:colOff>876300</xdr:colOff>
          <xdr:row>43</xdr:row>
          <xdr:rowOff>0</xdr:rowOff>
        </xdr:to>
        <xdr:sp macro="" textlink="">
          <xdr:nvSpPr>
            <xdr:cNvPr id="674542" name="Drop Down 750" hidden="1">
              <a:extLst>
                <a:ext uri="{63B3BB69-23CF-44E3-9099-C40C66FF867C}">
                  <a14:compatExt spid="_x0000_s6745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43</xdr:row>
          <xdr:rowOff>9525</xdr:rowOff>
        </xdr:from>
        <xdr:to>
          <xdr:col>6</xdr:col>
          <xdr:colOff>876300</xdr:colOff>
          <xdr:row>44</xdr:row>
          <xdr:rowOff>0</xdr:rowOff>
        </xdr:to>
        <xdr:sp macro="" textlink="">
          <xdr:nvSpPr>
            <xdr:cNvPr id="674543" name="Drop Down 751" hidden="1">
              <a:extLst>
                <a:ext uri="{63B3BB69-23CF-44E3-9099-C40C66FF867C}">
                  <a14:compatExt spid="_x0000_s6745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34</xdr:row>
          <xdr:rowOff>9525</xdr:rowOff>
        </xdr:from>
        <xdr:to>
          <xdr:col>6</xdr:col>
          <xdr:colOff>876300</xdr:colOff>
          <xdr:row>35</xdr:row>
          <xdr:rowOff>0</xdr:rowOff>
        </xdr:to>
        <xdr:sp macro="" textlink="">
          <xdr:nvSpPr>
            <xdr:cNvPr id="674544" name="Drop Down 752" hidden="1">
              <a:extLst>
                <a:ext uri="{63B3BB69-23CF-44E3-9099-C40C66FF867C}">
                  <a14:compatExt spid="_x0000_s6745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44</xdr:row>
          <xdr:rowOff>9525</xdr:rowOff>
        </xdr:from>
        <xdr:to>
          <xdr:col>6</xdr:col>
          <xdr:colOff>876300</xdr:colOff>
          <xdr:row>45</xdr:row>
          <xdr:rowOff>0</xdr:rowOff>
        </xdr:to>
        <xdr:sp macro="" textlink="">
          <xdr:nvSpPr>
            <xdr:cNvPr id="674632" name="Drop Down 840" hidden="1">
              <a:extLst>
                <a:ext uri="{63B3BB69-23CF-44E3-9099-C40C66FF867C}">
                  <a14:compatExt spid="_x0000_s6746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33</xdr:row>
          <xdr:rowOff>9525</xdr:rowOff>
        </xdr:from>
        <xdr:to>
          <xdr:col>6</xdr:col>
          <xdr:colOff>876300</xdr:colOff>
          <xdr:row>34</xdr:row>
          <xdr:rowOff>0</xdr:rowOff>
        </xdr:to>
        <xdr:sp macro="" textlink="">
          <xdr:nvSpPr>
            <xdr:cNvPr id="674633" name="Drop Down 841" hidden="1">
              <a:extLst>
                <a:ext uri="{63B3BB69-23CF-44E3-9099-C40C66FF867C}">
                  <a14:compatExt spid="_x0000_s6746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370999</xdr:colOff>
          <xdr:row>0</xdr:row>
          <xdr:rowOff>95250</xdr:rowOff>
        </xdr:from>
        <xdr:to>
          <xdr:col>7</xdr:col>
          <xdr:colOff>906899</xdr:colOff>
          <xdr:row>26</xdr:row>
          <xdr:rowOff>57258</xdr:rowOff>
        </xdr:to>
        <xdr:pic>
          <xdr:nvPicPr>
            <xdr:cNvPr id="77" name="Picture 8888"/>
            <xdr:cNvPicPr>
              <a:picLocks noChangeAspect="1" noChangeArrowheads="1"/>
              <a:extLst>
                <a:ext uri="{84589F7E-364E-4C9E-8A38-B11213B215E9}">
                  <a14:cameraTool cellRange="PICTURE1" spid="_x0000_s706268"/>
                </a:ext>
              </a:extLst>
            </xdr:cNvPicPr>
          </xdr:nvPicPr>
          <xdr:blipFill>
            <a:blip xmlns:r="http://schemas.openxmlformats.org/officeDocument/2006/relationships" r:embed="rId1"/>
            <a:srcRect/>
            <a:stretch>
              <a:fillRect/>
            </a:stretch>
          </xdr:blipFill>
          <xdr:spPr bwMode="auto">
            <a:xfrm>
              <a:off x="370999" y="95250"/>
              <a:ext cx="7308175" cy="4172058"/>
            </a:xfrm>
            <a:prstGeom prst="rect">
              <a:avLst/>
            </a:prstGeom>
            <a:noFill/>
            <a:ln w="15875">
              <a:noFill/>
              <a:miter lim="800000"/>
              <a:headEnd/>
              <a:tailEnd/>
            </a:ln>
            <a:extLst>
              <a:ext uri="{909E8E84-426E-40DD-AFC4-6F175D3DCCD1}">
                <a14:hiddenFill>
                  <a:solidFill>
                    <a:srgbClr val="FFFFFF" mc:Ignorable="a14" a14:legacySpreadsheetColorIndex="65"/>
                  </a:solidFill>
                </a14:hiddenFill>
              </a:ext>
            </a:extLst>
          </xdr:spPr>
        </xdr:pic>
        <xdr:clientData/>
      </xdr:twoCellAnchor>
    </mc:Choice>
    <mc:Fallback/>
  </mc:AlternateContent>
  <xdr:twoCellAnchor>
    <xdr:from>
      <xdr:col>1</xdr:col>
      <xdr:colOff>420742</xdr:colOff>
      <xdr:row>9</xdr:row>
      <xdr:rowOff>23494</xdr:rowOff>
    </xdr:from>
    <xdr:to>
      <xdr:col>1</xdr:col>
      <xdr:colOff>743582</xdr:colOff>
      <xdr:row>10</xdr:row>
      <xdr:rowOff>95608</xdr:rowOff>
    </xdr:to>
    <xdr:sp macro="" textlink="">
      <xdr:nvSpPr>
        <xdr:cNvPr id="78" name="Text Box 244"/>
        <xdr:cNvSpPr txBox="1">
          <a:spLocks noChangeArrowheads="1"/>
        </xdr:cNvSpPr>
      </xdr:nvSpPr>
      <xdr:spPr bwMode="auto">
        <a:xfrm>
          <a:off x="1058917" y="1480819"/>
          <a:ext cx="322840" cy="234039"/>
        </a:xfrm>
        <a:prstGeom prst="rect">
          <a:avLst/>
        </a:prstGeom>
        <a:noFill/>
        <a:ln w="9525">
          <a:noFill/>
          <a:miter lim="800000"/>
          <a:headEnd/>
          <a:tailEnd/>
        </a:ln>
      </xdr:spPr>
      <xdr:txBody>
        <a:bodyPr vertOverflow="clip" wrap="square" lIns="27432" tIns="27432" rIns="0" bIns="0" anchor="t" upright="1"/>
        <a:lstStyle/>
        <a:p>
          <a:pPr algn="l" rtl="0">
            <a:defRPr sz="1000"/>
          </a:pPr>
          <a:r>
            <a:rPr lang="en-US" sz="1100" b="0" i="0" strike="noStrike">
              <a:solidFill>
                <a:srgbClr val="000000"/>
              </a:solidFill>
              <a:latin typeface="Arial" pitchFamily="34" charset="0"/>
              <a:cs typeface="Arial" pitchFamily="34" charset="0"/>
            </a:rPr>
            <a:t>C</a:t>
          </a:r>
          <a:r>
            <a:rPr lang="en-US" sz="1100" b="0" i="0" strike="noStrike" baseline="-25000">
              <a:solidFill>
                <a:srgbClr val="000000"/>
              </a:solidFill>
              <a:latin typeface="Arial" pitchFamily="34" charset="0"/>
              <a:cs typeface="Arial" pitchFamily="34" charset="0"/>
            </a:rPr>
            <a:t>IN</a:t>
          </a:r>
        </a:p>
      </xdr:txBody>
    </xdr:sp>
    <xdr:clientData/>
  </xdr:twoCellAnchor>
  <xdr:twoCellAnchor>
    <xdr:from>
      <xdr:col>6</xdr:col>
      <xdr:colOff>847596</xdr:colOff>
      <xdr:row>7</xdr:row>
      <xdr:rowOff>63609</xdr:rowOff>
    </xdr:from>
    <xdr:to>
      <xdr:col>7</xdr:col>
      <xdr:colOff>265709</xdr:colOff>
      <xdr:row>8</xdr:row>
      <xdr:rowOff>84849</xdr:rowOff>
    </xdr:to>
    <xdr:sp macro="" textlink="'Variable Mgmt'!B213">
      <xdr:nvSpPr>
        <xdr:cNvPr id="79" name="Text Box 267"/>
        <xdr:cNvSpPr txBox="1">
          <a:spLocks noChangeArrowheads="1" noTextEdit="1"/>
        </xdr:cNvSpPr>
      </xdr:nvSpPr>
      <xdr:spPr bwMode="auto">
        <a:xfrm>
          <a:off x="6543546" y="1197084"/>
          <a:ext cx="494438" cy="183165"/>
        </a:xfrm>
        <a:prstGeom prst="rect">
          <a:avLst/>
        </a:prstGeom>
        <a:noFill/>
        <a:ln w="9525">
          <a:noFill/>
          <a:miter lim="800000"/>
          <a:headEnd/>
          <a:tailEnd/>
        </a:ln>
      </xdr:spPr>
      <xdr:txBody>
        <a:bodyPr vertOverflow="clip" wrap="square" lIns="27432" tIns="22860" rIns="0" bIns="0" anchor="ctr" upright="1"/>
        <a:lstStyle/>
        <a:p>
          <a:pPr algn="l" rtl="0">
            <a:defRPr sz="1000"/>
          </a:pPr>
          <a:fld id="{DEF62FD0-959B-4627-B7E8-61CA1688D174}" type="TxLink">
            <a:rPr lang="en-US" sz="1100" b="0" i="0" u="none" strike="noStrike" baseline="0">
              <a:solidFill>
                <a:srgbClr val="000000"/>
              </a:solidFill>
              <a:latin typeface="Arial" pitchFamily="34" charset="0"/>
              <a:cs typeface="Arial" pitchFamily="34" charset="0"/>
            </a:rPr>
            <a:pPr algn="l" rtl="0">
              <a:defRPr sz="1000"/>
            </a:pPr>
            <a:t>47µF</a:t>
          </a:fld>
          <a:endParaRPr lang="en-US" sz="1100" b="0" i="0" u="none" strike="noStrike" baseline="0">
            <a:solidFill>
              <a:srgbClr val="000000"/>
            </a:solidFill>
            <a:latin typeface="Arial" pitchFamily="34" charset="0"/>
            <a:cs typeface="Arial" pitchFamily="34" charset="0"/>
          </a:endParaRPr>
        </a:p>
      </xdr:txBody>
    </xdr:sp>
    <xdr:clientData/>
  </xdr:twoCellAnchor>
  <xdr:twoCellAnchor>
    <xdr:from>
      <xdr:col>5</xdr:col>
      <xdr:colOff>224042</xdr:colOff>
      <xdr:row>9</xdr:row>
      <xdr:rowOff>105784</xdr:rowOff>
    </xdr:from>
    <xdr:to>
      <xdr:col>5</xdr:col>
      <xdr:colOff>675647</xdr:colOff>
      <xdr:row>11</xdr:row>
      <xdr:rowOff>40383</xdr:rowOff>
    </xdr:to>
    <xdr:sp macro="" textlink="'Variable Mgmt'!B199">
      <xdr:nvSpPr>
        <xdr:cNvPr id="80" name="Text Box 275"/>
        <xdr:cNvSpPr txBox="1">
          <a:spLocks noChangeArrowheads="1" noTextEdit="1"/>
        </xdr:cNvSpPr>
      </xdr:nvSpPr>
      <xdr:spPr bwMode="auto">
        <a:xfrm>
          <a:off x="5015117" y="1563109"/>
          <a:ext cx="451605" cy="258449"/>
        </a:xfrm>
        <a:prstGeom prst="rect">
          <a:avLst/>
        </a:prstGeom>
        <a:noFill/>
        <a:ln w="9525">
          <a:noFill/>
          <a:miter lim="800000"/>
          <a:headEnd/>
          <a:tailEnd/>
        </a:ln>
      </xdr:spPr>
      <xdr:txBody>
        <a:bodyPr vertOverflow="clip" wrap="square" lIns="27432" tIns="22860" rIns="0" bIns="0" anchor="ctr" upright="1"/>
        <a:lstStyle/>
        <a:p>
          <a:pPr algn="ctr" rtl="0">
            <a:defRPr sz="1000"/>
          </a:pPr>
          <a:fld id="{08583DE7-3129-476B-98BE-2887A134E956}" type="TxLink">
            <a:rPr lang="en-US" sz="1100" b="0" i="0" u="none" strike="noStrike" baseline="0">
              <a:solidFill>
                <a:srgbClr val="000000"/>
              </a:solidFill>
              <a:latin typeface="Arial" pitchFamily="34" charset="0"/>
              <a:cs typeface="Arial" pitchFamily="34" charset="0"/>
            </a:rPr>
            <a:pPr algn="ctr" rtl="0">
              <a:defRPr sz="1000"/>
            </a:pPr>
            <a:t>40µH</a:t>
          </a:fld>
          <a:endParaRPr lang="en-US" sz="1100" b="0" i="0" u="none" strike="noStrike" baseline="0">
            <a:solidFill>
              <a:srgbClr val="000000"/>
            </a:solidFill>
            <a:latin typeface="Arial" pitchFamily="34" charset="0"/>
            <a:cs typeface="Arial" pitchFamily="34" charset="0"/>
          </a:endParaRPr>
        </a:p>
      </xdr:txBody>
    </xdr:sp>
    <xdr:clientData/>
  </xdr:twoCellAnchor>
  <xdr:twoCellAnchor>
    <xdr:from>
      <xdr:col>1</xdr:col>
      <xdr:colOff>329828</xdr:colOff>
      <xdr:row>10</xdr:row>
      <xdr:rowOff>96372</xdr:rowOff>
    </xdr:from>
    <xdr:to>
      <xdr:col>2</xdr:col>
      <xdr:colOff>37577</xdr:colOff>
      <xdr:row>11</xdr:row>
      <xdr:rowOff>132518</xdr:rowOff>
    </xdr:to>
    <xdr:sp macro="" textlink="'Variable Mgmt'!B218">
      <xdr:nvSpPr>
        <xdr:cNvPr id="81" name="Text Box 276"/>
        <xdr:cNvSpPr txBox="1">
          <a:spLocks noChangeArrowheads="1" noTextEdit="1"/>
        </xdr:cNvSpPr>
      </xdr:nvSpPr>
      <xdr:spPr bwMode="auto">
        <a:xfrm>
          <a:off x="968003" y="1715622"/>
          <a:ext cx="469749" cy="198071"/>
        </a:xfrm>
        <a:prstGeom prst="rect">
          <a:avLst/>
        </a:prstGeom>
        <a:noFill/>
        <a:ln w="9525">
          <a:noFill/>
          <a:miter lim="800000"/>
          <a:headEnd/>
          <a:tailEnd/>
        </a:ln>
      </xdr:spPr>
      <xdr:txBody>
        <a:bodyPr vertOverflow="clip" wrap="square" lIns="27432" tIns="22860" rIns="0" bIns="0" anchor="ctr" upright="1"/>
        <a:lstStyle/>
        <a:p>
          <a:pPr algn="ctr" rtl="0">
            <a:defRPr sz="1000"/>
          </a:pPr>
          <a:fld id="{7E8F3901-1453-4951-8E28-510E65401D4C}" type="TxLink">
            <a:rPr lang="en-US" sz="1100" b="0" i="0" u="none" strike="noStrike" baseline="0">
              <a:solidFill>
                <a:srgbClr val="000000"/>
              </a:solidFill>
              <a:latin typeface="Arial" pitchFamily="34" charset="0"/>
              <a:cs typeface="Arial" pitchFamily="34" charset="0"/>
            </a:rPr>
            <a:pPr algn="ctr" rtl="0">
              <a:defRPr sz="1000"/>
            </a:pPr>
            <a:t>47µF</a:t>
          </a:fld>
          <a:endParaRPr lang="en-US" sz="1100" b="0" i="0" u="none" strike="noStrike" baseline="0">
            <a:solidFill>
              <a:srgbClr val="000000"/>
            </a:solidFill>
            <a:latin typeface="Arial" pitchFamily="34" charset="0"/>
            <a:cs typeface="Arial" pitchFamily="34" charset="0"/>
          </a:endParaRPr>
        </a:p>
      </xdr:txBody>
    </xdr:sp>
    <xdr:clientData/>
  </xdr:twoCellAnchor>
  <xdr:twoCellAnchor>
    <xdr:from>
      <xdr:col>2</xdr:col>
      <xdr:colOff>198843</xdr:colOff>
      <xdr:row>21</xdr:row>
      <xdr:rowOff>104015</xdr:rowOff>
    </xdr:from>
    <xdr:to>
      <xdr:col>2</xdr:col>
      <xdr:colOff>642811</xdr:colOff>
      <xdr:row>23</xdr:row>
      <xdr:rowOff>62417</xdr:rowOff>
    </xdr:to>
    <xdr:sp macro="" textlink="'Variable Mgmt'!D245">
      <xdr:nvSpPr>
        <xdr:cNvPr id="82" name="Text Box 281"/>
        <xdr:cNvSpPr txBox="1">
          <a:spLocks noChangeArrowheads="1" noTextEdit="1"/>
        </xdr:cNvSpPr>
      </xdr:nvSpPr>
      <xdr:spPr bwMode="auto">
        <a:xfrm>
          <a:off x="1599018" y="3504440"/>
          <a:ext cx="443968" cy="282252"/>
        </a:xfrm>
        <a:prstGeom prst="rect">
          <a:avLst/>
        </a:prstGeom>
        <a:noFill/>
        <a:ln w="9525">
          <a:noFill/>
          <a:miter lim="800000"/>
          <a:headEnd/>
          <a:tailEnd/>
        </a:ln>
      </xdr:spPr>
      <xdr:txBody>
        <a:bodyPr vertOverflow="clip" wrap="square" lIns="27432" tIns="22860" rIns="0" bIns="0" anchor="ctr" upright="1"/>
        <a:lstStyle/>
        <a:p>
          <a:pPr algn="l" rtl="0">
            <a:defRPr sz="1000"/>
          </a:pPr>
          <a:fld id="{F2115F91-8BFD-4C9B-9969-8B2C04ADF4C5}" type="TxLink">
            <a:rPr lang="en-US" sz="1100" b="0" i="0" u="none" strike="noStrike">
              <a:solidFill>
                <a:srgbClr val="000000"/>
              </a:solidFill>
              <a:latin typeface="Arial"/>
              <a:cs typeface="Arial"/>
            </a:rPr>
            <a:pPr algn="l" rtl="0">
              <a:defRPr sz="1000"/>
            </a:pPr>
            <a:t> </a:t>
          </a:fld>
          <a:endParaRPr lang="en-US" sz="1100" b="0" i="0" strike="noStrike">
            <a:solidFill>
              <a:srgbClr val="000000"/>
            </a:solidFill>
            <a:latin typeface="Arial" pitchFamily="34" charset="0"/>
            <a:cs typeface="Arial" pitchFamily="34" charset="0"/>
          </a:endParaRPr>
        </a:p>
      </xdr:txBody>
    </xdr:sp>
    <xdr:clientData/>
  </xdr:twoCellAnchor>
  <xdr:twoCellAnchor>
    <xdr:from>
      <xdr:col>0</xdr:col>
      <xdr:colOff>344923</xdr:colOff>
      <xdr:row>2</xdr:row>
      <xdr:rowOff>118526</xdr:rowOff>
    </xdr:from>
    <xdr:to>
      <xdr:col>1</xdr:col>
      <xdr:colOff>219275</xdr:colOff>
      <xdr:row>5</xdr:row>
      <xdr:rowOff>91586</xdr:rowOff>
    </xdr:to>
    <xdr:sp macro="" textlink="'Variable Mgmt'!B205">
      <xdr:nvSpPr>
        <xdr:cNvPr id="85" name="Text Box 283"/>
        <xdr:cNvSpPr txBox="1">
          <a:spLocks noChangeArrowheads="1" noTextEdit="1"/>
        </xdr:cNvSpPr>
      </xdr:nvSpPr>
      <xdr:spPr bwMode="auto">
        <a:xfrm>
          <a:off x="344923" y="442376"/>
          <a:ext cx="512527" cy="458835"/>
        </a:xfrm>
        <a:prstGeom prst="rect">
          <a:avLst/>
        </a:prstGeom>
        <a:noFill/>
        <a:ln w="9525">
          <a:noFill/>
          <a:miter lim="800000"/>
          <a:headEnd/>
          <a:tailEnd/>
        </a:ln>
      </xdr:spPr>
      <xdr:txBody>
        <a:bodyPr vertOverflow="clip" wrap="square" lIns="27432" tIns="22860" rIns="0" bIns="0" anchor="ctr" upright="1"/>
        <a:lstStyle/>
        <a:p>
          <a:pPr algn="r" rtl="0">
            <a:defRPr sz="1000"/>
          </a:pPr>
          <a:fld id="{211B0151-B00E-493E-8C8F-6E492416D93B}" type="TxLink">
            <a:rPr lang="en-US" sz="1400" b="1" i="0" u="none" strike="noStrike">
              <a:solidFill>
                <a:srgbClr val="FF0000"/>
              </a:solidFill>
              <a:latin typeface="Arial" pitchFamily="34" charset="0"/>
              <a:cs typeface="Arial" pitchFamily="34" charset="0"/>
            </a:rPr>
            <a:pPr algn="r" rtl="0">
              <a:defRPr sz="1000"/>
            </a:pPr>
            <a:t>12V</a:t>
          </a:fld>
          <a:endParaRPr lang="en-US" sz="1400" b="1" i="0" strike="noStrike">
            <a:solidFill>
              <a:srgbClr val="FF0000"/>
            </a:solidFill>
            <a:latin typeface="Arial" pitchFamily="34" charset="0"/>
            <a:cs typeface="Arial" pitchFamily="34" charset="0"/>
          </a:endParaRPr>
        </a:p>
      </xdr:txBody>
    </xdr:sp>
    <xdr:clientData/>
  </xdr:twoCellAnchor>
  <xdr:twoCellAnchor>
    <xdr:from>
      <xdr:col>7</xdr:col>
      <xdr:colOff>269013</xdr:colOff>
      <xdr:row>3</xdr:row>
      <xdr:rowOff>3197</xdr:rowOff>
    </xdr:from>
    <xdr:to>
      <xdr:col>7</xdr:col>
      <xdr:colOff>935407</xdr:colOff>
      <xdr:row>5</xdr:row>
      <xdr:rowOff>25976</xdr:rowOff>
    </xdr:to>
    <xdr:sp macro="" textlink="'Variable Mgmt'!B208">
      <xdr:nvSpPr>
        <xdr:cNvPr id="87" name="Text Box 285"/>
        <xdr:cNvSpPr txBox="1">
          <a:spLocks noChangeArrowheads="1" noTextEdit="1"/>
        </xdr:cNvSpPr>
      </xdr:nvSpPr>
      <xdr:spPr bwMode="auto">
        <a:xfrm>
          <a:off x="7041288" y="488972"/>
          <a:ext cx="666394" cy="346629"/>
        </a:xfrm>
        <a:prstGeom prst="rect">
          <a:avLst/>
        </a:prstGeom>
        <a:noFill/>
        <a:ln w="9525">
          <a:noFill/>
          <a:miter lim="800000"/>
          <a:headEnd/>
          <a:tailEnd/>
        </a:ln>
      </xdr:spPr>
      <xdr:txBody>
        <a:bodyPr vertOverflow="clip" wrap="square" lIns="27432" tIns="22860" rIns="0" bIns="0" anchor="ctr" upright="1"/>
        <a:lstStyle/>
        <a:p>
          <a:pPr algn="l" rtl="0">
            <a:defRPr sz="1000"/>
          </a:pPr>
          <a:fld id="{702C2B8A-7C4B-4FDB-B229-3170089D9686}" type="TxLink">
            <a:rPr lang="en-US" sz="1400" b="1" i="0" u="none" strike="noStrike" baseline="0">
              <a:solidFill>
                <a:srgbClr val="FF0000"/>
              </a:solidFill>
              <a:latin typeface="Arial" pitchFamily="34" charset="0"/>
              <a:cs typeface="Arial" pitchFamily="34" charset="0"/>
            </a:rPr>
            <a:pPr algn="l" rtl="0">
              <a:defRPr sz="1000"/>
            </a:pPr>
            <a:t>15V</a:t>
          </a:fld>
          <a:endParaRPr lang="en-US" sz="1400" b="1" i="0" u="none" strike="noStrike" baseline="0">
            <a:solidFill>
              <a:srgbClr val="FF0000"/>
            </a:solidFill>
            <a:latin typeface="Arial" pitchFamily="34" charset="0"/>
            <a:cs typeface="Arial" pitchFamily="34" charset="0"/>
          </a:endParaRPr>
        </a:p>
      </xdr:txBody>
    </xdr:sp>
    <xdr:clientData/>
  </xdr:twoCellAnchor>
  <xdr:twoCellAnchor>
    <xdr:from>
      <xdr:col>7</xdr:col>
      <xdr:colOff>173474</xdr:colOff>
      <xdr:row>4</xdr:row>
      <xdr:rowOff>112611</xdr:rowOff>
    </xdr:from>
    <xdr:to>
      <xdr:col>7</xdr:col>
      <xdr:colOff>725923</xdr:colOff>
      <xdr:row>6</xdr:row>
      <xdr:rowOff>93051</xdr:rowOff>
    </xdr:to>
    <xdr:sp macro="" textlink="'Variable Mgmt'!B263">
      <xdr:nvSpPr>
        <xdr:cNvPr id="88" name="Text Box 286"/>
        <xdr:cNvSpPr txBox="1">
          <a:spLocks noChangeArrowheads="1" noTextEdit="1"/>
        </xdr:cNvSpPr>
      </xdr:nvSpPr>
      <xdr:spPr bwMode="auto">
        <a:xfrm>
          <a:off x="6945749" y="760311"/>
          <a:ext cx="552449" cy="304290"/>
        </a:xfrm>
        <a:prstGeom prst="rect">
          <a:avLst/>
        </a:prstGeom>
        <a:noFill/>
        <a:ln w="9525">
          <a:noFill/>
          <a:miter lim="800000"/>
          <a:headEnd/>
          <a:tailEnd/>
        </a:ln>
      </xdr:spPr>
      <xdr:txBody>
        <a:bodyPr vertOverflow="clip" wrap="square" lIns="27432" tIns="22860" rIns="0" bIns="0" anchor="ctr" upright="1"/>
        <a:lstStyle/>
        <a:p>
          <a:pPr algn="ctr" rtl="0">
            <a:defRPr sz="1000"/>
          </a:pPr>
          <a:fld id="{E0FB88FA-F39E-4ACF-AB5E-DCB628763AAE}" type="TxLink">
            <a:rPr lang="en-US" sz="1350" b="1" i="0" u="none" strike="noStrike">
              <a:solidFill>
                <a:srgbClr val="FF0000"/>
              </a:solidFill>
              <a:latin typeface="Arial" pitchFamily="34" charset="0"/>
              <a:cs typeface="Arial" pitchFamily="34" charset="0"/>
            </a:rPr>
            <a:pPr algn="ctr" rtl="0">
              <a:defRPr sz="1000"/>
            </a:pPr>
            <a:t>0.3A</a:t>
          </a:fld>
          <a:endParaRPr lang="en-US" sz="1350" b="1" i="0" strike="noStrike">
            <a:solidFill>
              <a:srgbClr val="FF0000"/>
            </a:solidFill>
            <a:latin typeface="Arial" pitchFamily="34" charset="0"/>
            <a:cs typeface="Arial" pitchFamily="34" charset="0"/>
          </a:endParaRPr>
        </a:p>
      </xdr:txBody>
    </xdr:sp>
    <xdr:clientData/>
  </xdr:twoCellAnchor>
  <xdr:twoCellAnchor>
    <xdr:from>
      <xdr:col>2</xdr:col>
      <xdr:colOff>217360</xdr:colOff>
      <xdr:row>7</xdr:row>
      <xdr:rowOff>99362</xdr:rowOff>
    </xdr:from>
    <xdr:to>
      <xdr:col>2</xdr:col>
      <xdr:colOff>742058</xdr:colOff>
      <xdr:row>9</xdr:row>
      <xdr:rowOff>29041</xdr:rowOff>
    </xdr:to>
    <xdr:sp macro="" textlink="'Variable Mgmt'!C237">
      <xdr:nvSpPr>
        <xdr:cNvPr id="92" name="Text Box 268"/>
        <xdr:cNvSpPr txBox="1">
          <a:spLocks noChangeArrowheads="1" noTextEdit="1"/>
        </xdr:cNvSpPr>
      </xdr:nvSpPr>
      <xdr:spPr bwMode="auto">
        <a:xfrm>
          <a:off x="1617535" y="1232837"/>
          <a:ext cx="524698" cy="253529"/>
        </a:xfrm>
        <a:prstGeom prst="rect">
          <a:avLst/>
        </a:prstGeom>
        <a:noFill/>
        <a:ln w="9525">
          <a:noFill/>
          <a:miter lim="800000"/>
          <a:headEnd/>
          <a:tailEnd/>
        </a:ln>
      </xdr:spPr>
      <xdr:txBody>
        <a:bodyPr vertOverflow="clip" wrap="square" lIns="27432" tIns="22860" rIns="0" bIns="0" anchor="ctr" upright="1"/>
        <a:lstStyle/>
        <a:p>
          <a:pPr algn="l" rtl="0">
            <a:defRPr sz="1000"/>
          </a:pPr>
          <a:fld id="{9F0ED324-D4DC-458E-AFDF-B2BC6995B894}" type="TxLink">
            <a:rPr lang="en-US" sz="1000" b="0" i="0" u="none" strike="noStrike">
              <a:solidFill>
                <a:srgbClr val="000000"/>
              </a:solidFill>
              <a:latin typeface="Arial"/>
              <a:cs typeface="Arial"/>
            </a:rPr>
            <a:pPr algn="l" rtl="0">
              <a:defRPr sz="1000"/>
            </a:pPr>
            <a:t>56.2kΩ</a:t>
          </a:fld>
          <a:endParaRPr lang="el-GR" sz="1000" b="0" i="0" strike="noStrike">
            <a:solidFill>
              <a:srgbClr val="000000"/>
            </a:solidFill>
            <a:latin typeface="Arial" pitchFamily="34" charset="0"/>
            <a:cs typeface="Arial" pitchFamily="34" charset="0"/>
          </a:endParaRPr>
        </a:p>
      </xdr:txBody>
    </xdr:sp>
    <xdr:clientData/>
  </xdr:twoCellAnchor>
  <xdr:twoCellAnchor>
    <xdr:from>
      <xdr:col>2</xdr:col>
      <xdr:colOff>198310</xdr:colOff>
      <xdr:row>13</xdr:row>
      <xdr:rowOff>137646</xdr:rowOff>
    </xdr:from>
    <xdr:to>
      <xdr:col>2</xdr:col>
      <xdr:colOff>723008</xdr:colOff>
      <xdr:row>15</xdr:row>
      <xdr:rowOff>31908</xdr:rowOff>
    </xdr:to>
    <xdr:sp macro="" textlink="'Variable Mgmt'!C238">
      <xdr:nvSpPr>
        <xdr:cNvPr id="93" name="Text Box 268"/>
        <xdr:cNvSpPr txBox="1">
          <a:spLocks noChangeArrowheads="1" noTextEdit="1"/>
        </xdr:cNvSpPr>
      </xdr:nvSpPr>
      <xdr:spPr bwMode="auto">
        <a:xfrm>
          <a:off x="1598485" y="2242671"/>
          <a:ext cx="524698" cy="218112"/>
        </a:xfrm>
        <a:prstGeom prst="rect">
          <a:avLst/>
        </a:prstGeom>
        <a:noFill/>
        <a:ln w="9525">
          <a:noFill/>
          <a:miter lim="800000"/>
          <a:headEnd/>
          <a:tailEnd/>
        </a:ln>
      </xdr:spPr>
      <xdr:txBody>
        <a:bodyPr vertOverflow="clip" wrap="square" lIns="27432" tIns="22860" rIns="0" bIns="0" anchor="ctr" upright="1"/>
        <a:lstStyle/>
        <a:p>
          <a:pPr algn="l" rtl="0">
            <a:defRPr sz="1000"/>
          </a:pPr>
          <a:fld id="{34FF5C9F-E605-45FC-B7D1-F0CC0D61FE72}" type="TxLink">
            <a:rPr lang="en-US" sz="1000" b="0" i="0" u="none" strike="noStrike">
              <a:solidFill>
                <a:srgbClr val="000000"/>
              </a:solidFill>
              <a:latin typeface="Arial"/>
              <a:cs typeface="Arial"/>
            </a:rPr>
            <a:pPr algn="l" rtl="0">
              <a:defRPr sz="1000"/>
            </a:pPr>
            <a:t>16.9kΩ</a:t>
          </a:fld>
          <a:endParaRPr lang="el-GR" sz="1000" b="0" i="0" strike="noStrike">
            <a:solidFill>
              <a:srgbClr val="000000"/>
            </a:solidFill>
            <a:latin typeface="Arial" pitchFamily="34" charset="0"/>
            <a:cs typeface="Arial" pitchFamily="34" charset="0"/>
          </a:endParaRPr>
        </a:p>
      </xdr:txBody>
    </xdr:sp>
    <xdr:clientData/>
  </xdr:twoCellAnchor>
  <xdr:twoCellAnchor>
    <xdr:from>
      <xdr:col>4</xdr:col>
      <xdr:colOff>659751</xdr:colOff>
      <xdr:row>14</xdr:row>
      <xdr:rowOff>38988</xdr:rowOff>
    </xdr:from>
    <xdr:to>
      <xdr:col>5</xdr:col>
      <xdr:colOff>29192</xdr:colOff>
      <xdr:row>15</xdr:row>
      <xdr:rowOff>121560</xdr:rowOff>
    </xdr:to>
    <xdr:sp macro="" textlink="'Variable Mgmt'!C227">
      <xdr:nvSpPr>
        <xdr:cNvPr id="94" name="Text Box 268"/>
        <xdr:cNvSpPr txBox="1">
          <a:spLocks noChangeArrowheads="1" noTextEdit="1"/>
        </xdr:cNvSpPr>
      </xdr:nvSpPr>
      <xdr:spPr bwMode="auto">
        <a:xfrm>
          <a:off x="4298301" y="2305938"/>
          <a:ext cx="521966" cy="244497"/>
        </a:xfrm>
        <a:prstGeom prst="rect">
          <a:avLst/>
        </a:prstGeom>
        <a:noFill/>
        <a:ln w="9525">
          <a:noFill/>
          <a:miter lim="800000"/>
          <a:headEnd/>
          <a:tailEnd/>
        </a:ln>
      </xdr:spPr>
      <xdr:txBody>
        <a:bodyPr vertOverflow="clip" wrap="square" lIns="27432" tIns="22860" rIns="0" bIns="0" anchor="ctr" upright="1"/>
        <a:lstStyle/>
        <a:p>
          <a:pPr algn="l" rtl="0">
            <a:defRPr sz="1000"/>
          </a:pPr>
          <a:fld id="{748954DB-E280-498C-BC91-9439B9EC7524}" type="TxLink">
            <a:rPr lang="en-US" sz="1100" b="0" i="0" u="none" strike="noStrike">
              <a:solidFill>
                <a:srgbClr val="000000"/>
              </a:solidFill>
              <a:latin typeface="Arial"/>
              <a:cs typeface="Arial"/>
            </a:rPr>
            <a:pPr algn="l" rtl="0">
              <a:defRPr sz="1000"/>
            </a:pPr>
            <a:t>457.5kΩ</a:t>
          </a:fld>
          <a:endParaRPr lang="el-GR" sz="1800" b="0" i="0" strike="noStrike">
            <a:solidFill>
              <a:srgbClr val="000000"/>
            </a:solidFill>
            <a:latin typeface="Arial" pitchFamily="34" charset="0"/>
            <a:cs typeface="Arial" pitchFamily="34" charset="0"/>
          </a:endParaRPr>
        </a:p>
      </xdr:txBody>
    </xdr:sp>
    <xdr:clientData/>
  </xdr:twoCellAnchor>
  <xdr:twoCellAnchor>
    <xdr:from>
      <xdr:col>5</xdr:col>
      <xdr:colOff>157931</xdr:colOff>
      <xdr:row>20</xdr:row>
      <xdr:rowOff>88956</xdr:rowOff>
    </xdr:from>
    <xdr:to>
      <xdr:col>5</xdr:col>
      <xdr:colOff>672415</xdr:colOff>
      <xdr:row>21</xdr:row>
      <xdr:rowOff>128452</xdr:rowOff>
    </xdr:to>
    <xdr:sp macro="" textlink="'Variable Mgmt'!C241">
      <xdr:nvSpPr>
        <xdr:cNvPr id="95" name="Text Box 265"/>
        <xdr:cNvSpPr txBox="1">
          <a:spLocks noChangeArrowheads="1" noTextEdit="1"/>
        </xdr:cNvSpPr>
      </xdr:nvSpPr>
      <xdr:spPr bwMode="auto">
        <a:xfrm>
          <a:off x="4949006" y="3327456"/>
          <a:ext cx="514484" cy="201421"/>
        </a:xfrm>
        <a:prstGeom prst="rect">
          <a:avLst/>
        </a:prstGeom>
        <a:noFill/>
        <a:ln w="9525">
          <a:noFill/>
          <a:miter lim="800000"/>
          <a:headEnd/>
          <a:tailEnd/>
        </a:ln>
      </xdr:spPr>
      <xdr:txBody>
        <a:bodyPr vertOverflow="clip" wrap="square" lIns="27432" tIns="22860" rIns="0" bIns="0" anchor="t" upright="1"/>
        <a:lstStyle/>
        <a:p>
          <a:pPr algn="l" rtl="0">
            <a:defRPr sz="1000"/>
          </a:pPr>
          <a:fld id="{B2616B24-776D-472C-9328-875E07CFCCA9}" type="TxLink">
            <a:rPr lang="en-US" sz="1100" b="0" i="0" u="none" strike="noStrike" baseline="0">
              <a:solidFill>
                <a:srgbClr val="000000"/>
              </a:solidFill>
              <a:latin typeface="Arial"/>
              <a:cs typeface="Arial"/>
            </a:rPr>
            <a:pPr algn="l" rtl="0">
              <a:defRPr sz="1000"/>
            </a:pPr>
            <a:t>12.1kΩ</a:t>
          </a:fld>
          <a:endParaRPr lang="el-GR" sz="1200" b="0" i="0" u="none" strike="noStrike" baseline="0">
            <a:solidFill>
              <a:srgbClr val="000000"/>
            </a:solidFill>
            <a:latin typeface="Arial" pitchFamily="34" charset="0"/>
            <a:cs typeface="Arial" pitchFamily="34" charset="0"/>
          </a:endParaRPr>
        </a:p>
      </xdr:txBody>
    </xdr:sp>
    <xdr:clientData/>
  </xdr:twoCellAnchor>
  <xdr:twoCellAnchor>
    <xdr:from>
      <xdr:col>0</xdr:col>
      <xdr:colOff>95250</xdr:colOff>
      <xdr:row>5</xdr:row>
      <xdr:rowOff>6666</xdr:rowOff>
    </xdr:from>
    <xdr:to>
      <xdr:col>1</xdr:col>
      <xdr:colOff>740109</xdr:colOff>
      <xdr:row>6</xdr:row>
      <xdr:rowOff>133349</xdr:rowOff>
    </xdr:to>
    <xdr:sp macro="" textlink="'Variable Mgmt'!B206">
      <xdr:nvSpPr>
        <xdr:cNvPr id="96" name="Text Box 283"/>
        <xdr:cNvSpPr txBox="1">
          <a:spLocks noChangeArrowheads="1" noTextEdit="1"/>
        </xdr:cNvSpPr>
      </xdr:nvSpPr>
      <xdr:spPr bwMode="auto">
        <a:xfrm>
          <a:off x="95250" y="816291"/>
          <a:ext cx="1283034" cy="288608"/>
        </a:xfrm>
        <a:prstGeom prst="rect">
          <a:avLst/>
        </a:prstGeom>
        <a:noFill/>
        <a:ln w="9525">
          <a:noFill/>
          <a:miter lim="800000"/>
          <a:headEnd/>
          <a:tailEnd/>
        </a:ln>
      </xdr:spPr>
      <xdr:txBody>
        <a:bodyPr vertOverflow="clip" wrap="square" lIns="27432" tIns="22860" rIns="0" bIns="0" anchor="t" upright="1"/>
        <a:lstStyle/>
        <a:p>
          <a:pPr algn="ctr" rtl="0">
            <a:defRPr sz="1000"/>
          </a:pPr>
          <a:fld id="{47315316-35F3-49E7-A4CE-EA42773D1FAE}" type="TxLink">
            <a:rPr lang="en-US" sz="1200" b="1" i="0" u="none" strike="noStrike">
              <a:solidFill>
                <a:srgbClr val="000000"/>
              </a:solidFill>
              <a:latin typeface="Arial"/>
              <a:cs typeface="Arial"/>
            </a:rPr>
            <a:pPr algn="ctr" rtl="0">
              <a:defRPr sz="1000"/>
            </a:pPr>
            <a:t>7V...24V</a:t>
          </a:fld>
          <a:endParaRPr lang="en-US" sz="1200" b="1" i="0" strike="noStrike">
            <a:solidFill>
              <a:srgbClr val="000000"/>
            </a:solidFill>
            <a:latin typeface="Arial" pitchFamily="34" charset="0"/>
            <a:cs typeface="Arial" pitchFamily="34" charset="0"/>
          </a:endParaRPr>
        </a:p>
      </xdr:txBody>
    </xdr:sp>
    <xdr:clientData/>
  </xdr:twoCellAnchor>
  <xdr:twoCellAnchor>
    <xdr:from>
      <xdr:col>4</xdr:col>
      <xdr:colOff>679229</xdr:colOff>
      <xdr:row>18</xdr:row>
      <xdr:rowOff>149860</xdr:rowOff>
    </xdr:from>
    <xdr:to>
      <xdr:col>4</xdr:col>
      <xdr:colOff>1010101</xdr:colOff>
      <xdr:row>20</xdr:row>
      <xdr:rowOff>77900</xdr:rowOff>
    </xdr:to>
    <xdr:sp macro="" textlink="'Variable Mgmt'!C233">
      <xdr:nvSpPr>
        <xdr:cNvPr id="97" name="Text Box 225"/>
        <xdr:cNvSpPr txBox="1">
          <a:spLocks noChangeArrowheads="1"/>
        </xdr:cNvSpPr>
      </xdr:nvSpPr>
      <xdr:spPr bwMode="auto">
        <a:xfrm>
          <a:off x="4317779" y="3064510"/>
          <a:ext cx="330872" cy="251890"/>
        </a:xfrm>
        <a:prstGeom prst="rect">
          <a:avLst/>
        </a:prstGeom>
        <a:noFill/>
        <a:ln w="9525">
          <a:noFill/>
          <a:miter lim="800000"/>
          <a:headEnd/>
          <a:tailEnd/>
        </a:ln>
      </xdr:spPr>
      <xdr:txBody>
        <a:bodyPr vertOverflow="clip" wrap="square" lIns="27432" tIns="27432" rIns="0" bIns="0" anchor="ctr" upright="1"/>
        <a:lstStyle/>
        <a:p>
          <a:pPr algn="l" rtl="0">
            <a:defRPr sz="1000"/>
          </a:pPr>
          <a:fld id="{C394427D-AAFB-4910-BFD4-26E4AF094E1D}" type="TxLink">
            <a:rPr lang="en-US" sz="1000" b="0" i="0" u="none" strike="noStrike">
              <a:solidFill>
                <a:srgbClr val="000000"/>
              </a:solidFill>
              <a:latin typeface="Arial"/>
              <a:cs typeface="Arial"/>
            </a:rPr>
            <a:pPr algn="l" rtl="0">
              <a:defRPr sz="1000"/>
            </a:pPr>
            <a:t> </a:t>
          </a:fld>
          <a:endParaRPr lang="en-US" sz="1100" b="0" i="0" strike="noStrike" baseline="-25000">
            <a:solidFill>
              <a:srgbClr val="000000"/>
            </a:solidFill>
            <a:latin typeface="Arial" pitchFamily="34" charset="0"/>
            <a:cs typeface="Arial" pitchFamily="34" charset="0"/>
          </a:endParaRPr>
        </a:p>
      </xdr:txBody>
    </xdr:sp>
    <xdr:clientData/>
  </xdr:twoCellAnchor>
  <xdr:twoCellAnchor>
    <xdr:from>
      <xdr:col>4</xdr:col>
      <xdr:colOff>631623</xdr:colOff>
      <xdr:row>20</xdr:row>
      <xdr:rowOff>71205</xdr:rowOff>
    </xdr:from>
    <xdr:to>
      <xdr:col>4</xdr:col>
      <xdr:colOff>1147003</xdr:colOff>
      <xdr:row>21</xdr:row>
      <xdr:rowOff>142012</xdr:rowOff>
    </xdr:to>
    <xdr:sp macro="" textlink="'Variable Mgmt'!B233">
      <xdr:nvSpPr>
        <xdr:cNvPr id="98" name="Text Box 268"/>
        <xdr:cNvSpPr txBox="1">
          <a:spLocks noChangeArrowheads="1" noTextEdit="1"/>
        </xdr:cNvSpPr>
      </xdr:nvSpPr>
      <xdr:spPr bwMode="auto">
        <a:xfrm>
          <a:off x="4270173" y="3309705"/>
          <a:ext cx="515380" cy="232732"/>
        </a:xfrm>
        <a:prstGeom prst="rect">
          <a:avLst/>
        </a:prstGeom>
        <a:noFill/>
        <a:ln w="9525">
          <a:noFill/>
          <a:miter lim="800000"/>
          <a:headEnd/>
          <a:tailEnd/>
        </a:ln>
      </xdr:spPr>
      <xdr:txBody>
        <a:bodyPr vertOverflow="clip" wrap="square" lIns="27432" tIns="22860" rIns="0" bIns="0" anchor="ctr" upright="1"/>
        <a:lstStyle/>
        <a:p>
          <a:pPr algn="l" rtl="0">
            <a:defRPr sz="1000"/>
          </a:pPr>
          <a:fld id="{35437053-6AF1-4CB6-8BC9-CEEF911045AA}" type="TxLink">
            <a:rPr lang="en-US" sz="1100" b="0" i="0" u="none" strike="noStrike">
              <a:solidFill>
                <a:srgbClr val="000000"/>
              </a:solidFill>
              <a:latin typeface="Arial"/>
              <a:cs typeface="Arial"/>
            </a:rPr>
            <a:pPr algn="l" rtl="0">
              <a:defRPr sz="1000"/>
            </a:pPr>
            <a:t> </a:t>
          </a:fld>
          <a:endParaRPr lang="el-GR" sz="1100" b="0" i="0" strike="noStrike">
            <a:solidFill>
              <a:srgbClr val="000000"/>
            </a:solidFill>
            <a:latin typeface="Arial" pitchFamily="34" charset="0"/>
            <a:cs typeface="Arial" pitchFamily="34" charset="0"/>
          </a:endParaRPr>
        </a:p>
      </xdr:txBody>
    </xdr:sp>
    <xdr:clientData/>
  </xdr:twoCellAnchor>
  <xdr:twoCellAnchor>
    <xdr:from>
      <xdr:col>2</xdr:col>
      <xdr:colOff>237557</xdr:colOff>
      <xdr:row>6</xdr:row>
      <xdr:rowOff>57806</xdr:rowOff>
    </xdr:from>
    <xdr:to>
      <xdr:col>2</xdr:col>
      <xdr:colOff>639607</xdr:colOff>
      <xdr:row>7</xdr:row>
      <xdr:rowOff>125922</xdr:rowOff>
    </xdr:to>
    <xdr:sp macro="" textlink="'Variable Mgmt'!C236">
      <xdr:nvSpPr>
        <xdr:cNvPr id="99" name="Text Box 264"/>
        <xdr:cNvSpPr txBox="1">
          <a:spLocks noChangeArrowheads="1" noTextEdit="1"/>
        </xdr:cNvSpPr>
      </xdr:nvSpPr>
      <xdr:spPr bwMode="auto">
        <a:xfrm>
          <a:off x="1637732" y="1029356"/>
          <a:ext cx="402050" cy="230041"/>
        </a:xfrm>
        <a:prstGeom prst="rect">
          <a:avLst/>
        </a:prstGeom>
        <a:noFill/>
        <a:ln w="9525">
          <a:noFill/>
          <a:miter lim="800000"/>
          <a:headEnd/>
          <a:tailEnd/>
        </a:ln>
      </xdr:spPr>
      <xdr:txBody>
        <a:bodyPr vertOverflow="clip" wrap="square" lIns="27432" tIns="22860" rIns="0" bIns="0" anchor="ctr" upright="1"/>
        <a:lstStyle/>
        <a:p>
          <a:pPr algn="l" rtl="0">
            <a:defRPr sz="1000"/>
          </a:pPr>
          <a:fld id="{31380AD2-7EE8-49DF-ADF3-9022D781233D}" type="TxLink">
            <a:rPr lang="en-US" sz="1000" b="0" i="0" u="none" strike="noStrike" baseline="0">
              <a:solidFill>
                <a:srgbClr val="000000"/>
              </a:solidFill>
              <a:latin typeface="Arial"/>
              <a:cs typeface="Arial"/>
            </a:rPr>
            <a:pPr algn="l" rtl="0">
              <a:defRPr sz="1000"/>
            </a:pPr>
            <a:t>Ruv1</a:t>
          </a:fld>
          <a:endParaRPr lang="el-GR" sz="1000" b="0" i="0" u="none" strike="noStrike" baseline="0">
            <a:solidFill>
              <a:srgbClr val="000000"/>
            </a:solidFill>
            <a:latin typeface="Arial" pitchFamily="34" charset="0"/>
            <a:cs typeface="Arial" pitchFamily="34" charset="0"/>
          </a:endParaRPr>
        </a:p>
      </xdr:txBody>
    </xdr:sp>
    <xdr:clientData/>
  </xdr:twoCellAnchor>
  <xdr:twoCellAnchor>
    <xdr:from>
      <xdr:col>2</xdr:col>
      <xdr:colOff>237557</xdr:colOff>
      <xdr:row>12</xdr:row>
      <xdr:rowOff>115234</xdr:rowOff>
    </xdr:from>
    <xdr:to>
      <xdr:col>2</xdr:col>
      <xdr:colOff>661587</xdr:colOff>
      <xdr:row>13</xdr:row>
      <xdr:rowOff>135750</xdr:rowOff>
    </xdr:to>
    <xdr:sp macro="" textlink="'Variable Mgmt'!D236">
      <xdr:nvSpPr>
        <xdr:cNvPr id="100" name="Text Box 264"/>
        <xdr:cNvSpPr txBox="1">
          <a:spLocks noChangeArrowheads="1" noTextEdit="1"/>
        </xdr:cNvSpPr>
      </xdr:nvSpPr>
      <xdr:spPr bwMode="auto">
        <a:xfrm>
          <a:off x="1637732" y="2058334"/>
          <a:ext cx="424030" cy="182441"/>
        </a:xfrm>
        <a:prstGeom prst="rect">
          <a:avLst/>
        </a:prstGeom>
        <a:noFill/>
        <a:ln w="9525">
          <a:noFill/>
          <a:miter lim="800000"/>
          <a:headEnd/>
          <a:tailEnd/>
        </a:ln>
      </xdr:spPr>
      <xdr:txBody>
        <a:bodyPr vertOverflow="clip" wrap="square" lIns="27432" tIns="22860" rIns="0" bIns="0" anchor="ctr" upright="1"/>
        <a:lstStyle/>
        <a:p>
          <a:pPr algn="l" rtl="0">
            <a:defRPr sz="1000"/>
          </a:pPr>
          <a:fld id="{873432C6-E14A-45C8-BEDA-C8EFF8641C5C}" type="TxLink">
            <a:rPr lang="en-US" sz="1000" b="0" i="0" u="none" strike="noStrike" baseline="0">
              <a:solidFill>
                <a:srgbClr val="000000"/>
              </a:solidFill>
              <a:latin typeface="Arial"/>
              <a:cs typeface="Arial"/>
            </a:rPr>
            <a:pPr algn="l" rtl="0">
              <a:defRPr sz="1000"/>
            </a:pPr>
            <a:t>Ruv2</a:t>
          </a:fld>
          <a:endParaRPr lang="el-GR" sz="1000" b="0" i="0" u="none" strike="noStrike" baseline="0">
            <a:solidFill>
              <a:srgbClr val="000000"/>
            </a:solidFill>
            <a:latin typeface="Arial" pitchFamily="34" charset="0"/>
            <a:cs typeface="Arial" pitchFamily="34" charset="0"/>
          </a:endParaRPr>
        </a:p>
      </xdr:txBody>
    </xdr:sp>
    <xdr:clientData/>
  </xdr:twoCellAnchor>
  <xdr:twoCellAnchor>
    <xdr:from>
      <xdr:col>2</xdr:col>
      <xdr:colOff>216427</xdr:colOff>
      <xdr:row>20</xdr:row>
      <xdr:rowOff>331</xdr:rowOff>
    </xdr:from>
    <xdr:to>
      <xdr:col>2</xdr:col>
      <xdr:colOff>660395</xdr:colOff>
      <xdr:row>22</xdr:row>
      <xdr:rowOff>12593</xdr:rowOff>
    </xdr:to>
    <xdr:sp macro="" textlink="'Variable Mgmt'!C246">
      <xdr:nvSpPr>
        <xdr:cNvPr id="101" name="Text Box 281"/>
        <xdr:cNvSpPr txBox="1">
          <a:spLocks noChangeArrowheads="1" noTextEdit="1"/>
        </xdr:cNvSpPr>
      </xdr:nvSpPr>
      <xdr:spPr bwMode="auto">
        <a:xfrm>
          <a:off x="1616602" y="3238831"/>
          <a:ext cx="443968" cy="336112"/>
        </a:xfrm>
        <a:prstGeom prst="rect">
          <a:avLst/>
        </a:prstGeom>
        <a:noFill/>
        <a:ln w="9525">
          <a:noFill/>
          <a:miter lim="800000"/>
          <a:headEnd/>
          <a:tailEnd/>
        </a:ln>
      </xdr:spPr>
      <xdr:txBody>
        <a:bodyPr vertOverflow="clip" wrap="square" lIns="27432" tIns="22860" rIns="0" bIns="0" anchor="ctr" upright="1"/>
        <a:lstStyle/>
        <a:p>
          <a:pPr algn="l" rtl="0">
            <a:defRPr sz="1000"/>
          </a:pPr>
          <a:fld id="{B81C36CF-66FD-4734-B04F-DAE82AF849A9}" type="TxLink">
            <a:rPr lang="en-US" sz="1100" b="0" i="0" u="none" strike="noStrike">
              <a:solidFill>
                <a:srgbClr val="000000"/>
              </a:solidFill>
              <a:latin typeface="Arial"/>
              <a:cs typeface="Arial"/>
            </a:rPr>
            <a:pPr algn="l" rtl="0">
              <a:defRPr sz="1000"/>
            </a:pPr>
            <a:t> </a:t>
          </a:fld>
          <a:endParaRPr lang="en-US" sz="1100" b="0" i="0" strike="noStrike">
            <a:solidFill>
              <a:srgbClr val="000000"/>
            </a:solidFill>
            <a:latin typeface="Arial" pitchFamily="34" charset="0"/>
            <a:cs typeface="Arial" pitchFamily="34" charset="0"/>
          </a:endParaRPr>
        </a:p>
      </xdr:txBody>
    </xdr:sp>
    <xdr:clientData/>
  </xdr:twoCellAnchor>
  <xdr:twoCellAnchor>
    <xdr:from>
      <xdr:col>4</xdr:col>
      <xdr:colOff>682414</xdr:colOff>
      <xdr:row>12</xdr:row>
      <xdr:rowOff>161265</xdr:rowOff>
    </xdr:from>
    <xdr:to>
      <xdr:col>4</xdr:col>
      <xdr:colOff>1005254</xdr:colOff>
      <xdr:row>14</xdr:row>
      <xdr:rowOff>69989</xdr:rowOff>
    </xdr:to>
    <xdr:sp macro="" textlink="">
      <xdr:nvSpPr>
        <xdr:cNvPr id="103" name="Text Box 244"/>
        <xdr:cNvSpPr txBox="1">
          <a:spLocks noChangeArrowheads="1"/>
        </xdr:cNvSpPr>
      </xdr:nvSpPr>
      <xdr:spPr bwMode="auto">
        <a:xfrm>
          <a:off x="4320964" y="2104365"/>
          <a:ext cx="322840" cy="232574"/>
        </a:xfrm>
        <a:prstGeom prst="rect">
          <a:avLst/>
        </a:prstGeom>
        <a:noFill/>
        <a:ln w="9525">
          <a:noFill/>
          <a:miter lim="800000"/>
          <a:headEnd/>
          <a:tailEnd/>
        </a:ln>
      </xdr:spPr>
      <xdr:txBody>
        <a:bodyPr vertOverflow="clip" wrap="square" lIns="27432" tIns="27432" rIns="0" bIns="0" anchor="t" upright="1"/>
        <a:lstStyle/>
        <a:p>
          <a:pPr algn="l" rtl="0">
            <a:defRPr sz="1000"/>
          </a:pPr>
          <a:r>
            <a:rPr lang="en-US" sz="1100" b="0" i="0" strike="noStrike">
              <a:solidFill>
                <a:srgbClr val="000000"/>
              </a:solidFill>
              <a:latin typeface="Arial" pitchFamily="34" charset="0"/>
              <a:cs typeface="Arial" pitchFamily="34" charset="0"/>
            </a:rPr>
            <a:t>R</a:t>
          </a:r>
          <a:r>
            <a:rPr lang="en-US" sz="1100" b="0" i="0" strike="noStrike" baseline="-25000">
              <a:solidFill>
                <a:srgbClr val="000000"/>
              </a:solidFill>
              <a:latin typeface="Arial" pitchFamily="34" charset="0"/>
              <a:cs typeface="Arial" pitchFamily="34" charset="0"/>
            </a:rPr>
            <a:t>FB</a:t>
          </a:r>
        </a:p>
      </xdr:txBody>
    </xdr:sp>
    <xdr:clientData/>
  </xdr:twoCellAnchor>
  <xdr:twoCellAnchor>
    <xdr:from>
      <xdr:col>5</xdr:col>
      <xdr:colOff>184207</xdr:colOff>
      <xdr:row>19</xdr:row>
      <xdr:rowOff>9801</xdr:rowOff>
    </xdr:from>
    <xdr:to>
      <xdr:col>5</xdr:col>
      <xdr:colOff>571224</xdr:colOff>
      <xdr:row>20</xdr:row>
      <xdr:rowOff>81258</xdr:rowOff>
    </xdr:to>
    <xdr:sp macro="" textlink="">
      <xdr:nvSpPr>
        <xdr:cNvPr id="104" name="Text Box 244"/>
        <xdr:cNvSpPr txBox="1">
          <a:spLocks noChangeArrowheads="1"/>
        </xdr:cNvSpPr>
      </xdr:nvSpPr>
      <xdr:spPr bwMode="auto">
        <a:xfrm>
          <a:off x="4975282" y="3086376"/>
          <a:ext cx="387017" cy="233382"/>
        </a:xfrm>
        <a:prstGeom prst="rect">
          <a:avLst/>
        </a:prstGeom>
        <a:noFill/>
        <a:ln w="9525">
          <a:noFill/>
          <a:miter lim="800000"/>
          <a:headEnd/>
          <a:tailEnd/>
        </a:ln>
      </xdr:spPr>
      <xdr:txBody>
        <a:bodyPr vertOverflow="clip" wrap="square" lIns="27432" tIns="27432" rIns="0" bIns="0" anchor="t" upright="1"/>
        <a:lstStyle/>
        <a:p>
          <a:pPr algn="l" rtl="0">
            <a:defRPr sz="1000"/>
          </a:pPr>
          <a:r>
            <a:rPr lang="en-US" sz="1100" b="0" i="0" strike="noStrike">
              <a:solidFill>
                <a:srgbClr val="000000"/>
              </a:solidFill>
              <a:latin typeface="Arial" pitchFamily="34" charset="0"/>
              <a:cs typeface="Arial" pitchFamily="34" charset="0"/>
            </a:rPr>
            <a:t>R</a:t>
          </a:r>
          <a:r>
            <a:rPr lang="en-US" sz="1100" b="0" i="0" strike="noStrike" baseline="-25000">
              <a:solidFill>
                <a:srgbClr val="000000"/>
              </a:solidFill>
              <a:latin typeface="Arial" pitchFamily="34" charset="0"/>
              <a:cs typeface="Arial" pitchFamily="34" charset="0"/>
            </a:rPr>
            <a:t>SET</a:t>
          </a:r>
        </a:p>
      </xdr:txBody>
    </xdr:sp>
    <xdr:clientData/>
  </xdr:twoCellAnchor>
  <xdr:twoCellAnchor>
    <xdr:from>
      <xdr:col>4</xdr:col>
      <xdr:colOff>216702</xdr:colOff>
      <xdr:row>5</xdr:row>
      <xdr:rowOff>7931</xdr:rowOff>
    </xdr:from>
    <xdr:to>
      <xdr:col>4</xdr:col>
      <xdr:colOff>680586</xdr:colOff>
      <xdr:row>6</xdr:row>
      <xdr:rowOff>105017</xdr:rowOff>
    </xdr:to>
    <xdr:sp macro="" textlink="">
      <xdr:nvSpPr>
        <xdr:cNvPr id="105" name="Text Box 235"/>
        <xdr:cNvSpPr txBox="1">
          <a:spLocks noChangeArrowheads="1"/>
        </xdr:cNvSpPr>
      </xdr:nvSpPr>
      <xdr:spPr bwMode="auto">
        <a:xfrm>
          <a:off x="3855252" y="817556"/>
          <a:ext cx="463884" cy="259011"/>
        </a:xfrm>
        <a:prstGeom prst="rect">
          <a:avLst/>
        </a:prstGeom>
        <a:noFill/>
        <a:ln w="9525">
          <a:noFill/>
          <a:miter lim="800000"/>
          <a:headEnd/>
          <a:tailEnd/>
        </a:ln>
      </xdr:spPr>
      <xdr:txBody>
        <a:bodyPr vertOverflow="clip" wrap="square" lIns="27432" tIns="27432" rIns="0" bIns="0" anchor="ctr" upright="1"/>
        <a:lstStyle/>
        <a:p>
          <a:pPr algn="l" rtl="0">
            <a:defRPr sz="1000"/>
          </a:pPr>
          <a:r>
            <a:rPr lang="en-US" sz="1100" b="0" i="0" strike="noStrike">
              <a:solidFill>
                <a:srgbClr val="000000"/>
              </a:solidFill>
              <a:latin typeface="Arial" pitchFamily="34" charset="0"/>
              <a:cs typeface="Arial" pitchFamily="34" charset="0"/>
            </a:rPr>
            <a:t>D</a:t>
          </a:r>
          <a:r>
            <a:rPr lang="en-US" sz="1100" b="0" i="0" strike="noStrike" baseline="-25000">
              <a:solidFill>
                <a:srgbClr val="000000"/>
              </a:solidFill>
              <a:latin typeface="Arial" pitchFamily="34" charset="0"/>
              <a:cs typeface="Arial" pitchFamily="34" charset="0"/>
            </a:rPr>
            <a:t>CLAMP</a:t>
          </a:r>
        </a:p>
      </xdr:txBody>
    </xdr:sp>
    <xdr:clientData/>
  </xdr:twoCellAnchor>
  <xdr:twoCellAnchor>
    <xdr:from>
      <xdr:col>4</xdr:col>
      <xdr:colOff>501318</xdr:colOff>
      <xdr:row>9</xdr:row>
      <xdr:rowOff>20387</xdr:rowOff>
    </xdr:from>
    <xdr:to>
      <xdr:col>4</xdr:col>
      <xdr:colOff>770618</xdr:colOff>
      <xdr:row>10</xdr:row>
      <xdr:rowOff>119671</xdr:rowOff>
    </xdr:to>
    <xdr:sp macro="" textlink="">
      <xdr:nvSpPr>
        <xdr:cNvPr id="126" name="Text Box 235"/>
        <xdr:cNvSpPr txBox="1">
          <a:spLocks noChangeArrowheads="1"/>
        </xdr:cNvSpPr>
      </xdr:nvSpPr>
      <xdr:spPr bwMode="auto">
        <a:xfrm>
          <a:off x="4139868" y="1477712"/>
          <a:ext cx="269300" cy="261209"/>
        </a:xfrm>
        <a:prstGeom prst="rect">
          <a:avLst/>
        </a:prstGeom>
        <a:noFill/>
        <a:ln w="9525">
          <a:noFill/>
          <a:miter lim="800000"/>
          <a:headEnd/>
          <a:tailEnd/>
        </a:ln>
      </xdr:spPr>
      <xdr:txBody>
        <a:bodyPr vertOverflow="clip" wrap="square" lIns="27432" tIns="27432" rIns="0" bIns="0" anchor="ctr" upright="1"/>
        <a:lstStyle/>
        <a:p>
          <a:pPr algn="l" rtl="0">
            <a:defRPr sz="1000"/>
          </a:pPr>
          <a:r>
            <a:rPr lang="en-US" sz="1100" b="0" i="0" strike="noStrike">
              <a:solidFill>
                <a:srgbClr val="000000"/>
              </a:solidFill>
              <a:latin typeface="Arial" pitchFamily="34" charset="0"/>
              <a:cs typeface="Arial" pitchFamily="34" charset="0"/>
            </a:rPr>
            <a:t>D</a:t>
          </a:r>
          <a:r>
            <a:rPr lang="en-US" sz="1100" b="0" i="0" strike="noStrike" baseline="-25000">
              <a:solidFill>
                <a:srgbClr val="000000"/>
              </a:solidFill>
              <a:latin typeface="Arial" pitchFamily="34" charset="0"/>
              <a:cs typeface="Arial" pitchFamily="34" charset="0"/>
            </a:rPr>
            <a:t>F</a:t>
          </a:r>
        </a:p>
      </xdr:txBody>
    </xdr:sp>
    <xdr:clientData/>
  </xdr:twoCellAnchor>
  <xdr:twoCellAnchor>
    <xdr:from>
      <xdr:col>5</xdr:col>
      <xdr:colOff>142399</xdr:colOff>
      <xdr:row>8</xdr:row>
      <xdr:rowOff>104775</xdr:rowOff>
    </xdr:from>
    <xdr:to>
      <xdr:col>5</xdr:col>
      <xdr:colOff>790575</xdr:colOff>
      <xdr:row>10</xdr:row>
      <xdr:rowOff>0</xdr:rowOff>
    </xdr:to>
    <xdr:sp macro="" textlink="'Variable Mgmt'!B201">
      <xdr:nvSpPr>
        <xdr:cNvPr id="127" name="Text Box 265"/>
        <xdr:cNvSpPr txBox="1">
          <a:spLocks noChangeArrowheads="1" noTextEdit="1"/>
        </xdr:cNvSpPr>
      </xdr:nvSpPr>
      <xdr:spPr bwMode="auto">
        <a:xfrm>
          <a:off x="4933474" y="1400175"/>
          <a:ext cx="648176" cy="219075"/>
        </a:xfrm>
        <a:prstGeom prst="rect">
          <a:avLst/>
        </a:prstGeom>
        <a:noFill/>
        <a:ln w="9525">
          <a:noFill/>
          <a:miter lim="800000"/>
          <a:headEnd/>
          <a:tailEnd/>
        </a:ln>
      </xdr:spPr>
      <xdr:txBody>
        <a:bodyPr vertOverflow="clip" wrap="square" lIns="27432" tIns="22860" rIns="0" bIns="0" anchor="t" upright="1"/>
        <a:lstStyle/>
        <a:p>
          <a:pPr algn="ctr" rtl="0">
            <a:defRPr sz="1000"/>
          </a:pPr>
          <a:fld id="{4DF3E085-FEDD-406F-9003-D894075812A3}" type="TxLink">
            <a:rPr lang="en-US" sz="1000" b="0" i="0" u="none" strike="noStrike" baseline="0">
              <a:solidFill>
                <a:srgbClr val="000000"/>
              </a:solidFill>
              <a:latin typeface="Arial"/>
              <a:cs typeface="Arial"/>
            </a:rPr>
            <a:pPr algn="ctr" rtl="0">
              <a:defRPr sz="1000"/>
            </a:pPr>
            <a:t>1 : 1</a:t>
          </a:fld>
          <a:endParaRPr lang="el-GR" sz="1200" b="0" i="0" u="none" strike="noStrike" baseline="0">
            <a:solidFill>
              <a:srgbClr val="000000"/>
            </a:solidFill>
            <a:latin typeface="Arial" pitchFamily="34" charset="0"/>
            <a:cs typeface="Arial" pitchFamily="34" charset="0"/>
          </a:endParaRPr>
        </a:p>
      </xdr:txBody>
    </xdr:sp>
    <xdr:clientData/>
  </xdr:twoCellAnchor>
  <xdr:twoCellAnchor>
    <xdr:from>
      <xdr:col>7</xdr:col>
      <xdr:colOff>288063</xdr:colOff>
      <xdr:row>11</xdr:row>
      <xdr:rowOff>136547</xdr:rowOff>
    </xdr:from>
    <xdr:to>
      <xdr:col>7</xdr:col>
      <xdr:colOff>954457</xdr:colOff>
      <xdr:row>13</xdr:row>
      <xdr:rowOff>159326</xdr:rowOff>
    </xdr:to>
    <xdr:sp macro="" textlink="'Variable Mgmt'!B209">
      <xdr:nvSpPr>
        <xdr:cNvPr id="128" name="Text Box 285"/>
        <xdr:cNvSpPr txBox="1">
          <a:spLocks noChangeArrowheads="1" noTextEdit="1"/>
        </xdr:cNvSpPr>
      </xdr:nvSpPr>
      <xdr:spPr bwMode="auto">
        <a:xfrm>
          <a:off x="7060338" y="1917722"/>
          <a:ext cx="666394" cy="346629"/>
        </a:xfrm>
        <a:prstGeom prst="rect">
          <a:avLst/>
        </a:prstGeom>
        <a:noFill/>
        <a:ln w="9525">
          <a:noFill/>
          <a:miter lim="800000"/>
          <a:headEnd/>
          <a:tailEnd/>
        </a:ln>
      </xdr:spPr>
      <xdr:txBody>
        <a:bodyPr vertOverflow="clip" wrap="square" lIns="27432" tIns="22860" rIns="0" bIns="0" anchor="ctr" upright="1"/>
        <a:lstStyle/>
        <a:p>
          <a:pPr algn="l" rtl="0">
            <a:defRPr sz="1000"/>
          </a:pPr>
          <a:fld id="{1EB32AF4-7354-4114-B6DF-5AD8FEB0166D}" type="TxLink">
            <a:rPr lang="en-US" sz="1350" b="1" i="0" u="none" strike="noStrike" baseline="0">
              <a:solidFill>
                <a:srgbClr val="FF0000"/>
              </a:solidFill>
              <a:latin typeface="Arial"/>
              <a:cs typeface="Arial"/>
            </a:rPr>
            <a:pPr algn="l" rtl="0">
              <a:defRPr sz="1000"/>
            </a:pPr>
            <a:t> </a:t>
          </a:fld>
          <a:endParaRPr lang="en-US" sz="1350" b="1" i="0" u="none" strike="noStrike" baseline="0">
            <a:solidFill>
              <a:srgbClr val="FF0000"/>
            </a:solidFill>
            <a:latin typeface="Arial" pitchFamily="34" charset="0"/>
            <a:cs typeface="Arial" pitchFamily="34" charset="0"/>
          </a:endParaRPr>
        </a:p>
      </xdr:txBody>
    </xdr:sp>
    <xdr:clientData/>
  </xdr:twoCellAnchor>
  <xdr:twoCellAnchor>
    <xdr:from>
      <xdr:col>7</xdr:col>
      <xdr:colOff>133350</xdr:colOff>
      <xdr:row>13</xdr:row>
      <xdr:rowOff>74511</xdr:rowOff>
    </xdr:from>
    <xdr:to>
      <xdr:col>7</xdr:col>
      <xdr:colOff>733425</xdr:colOff>
      <xdr:row>15</xdr:row>
      <xdr:rowOff>54951</xdr:rowOff>
    </xdr:to>
    <xdr:sp macro="" textlink="'Variable Mgmt'!B264">
      <xdr:nvSpPr>
        <xdr:cNvPr id="129" name="Text Box 286"/>
        <xdr:cNvSpPr txBox="1">
          <a:spLocks noChangeArrowheads="1" noTextEdit="1"/>
        </xdr:cNvSpPr>
      </xdr:nvSpPr>
      <xdr:spPr bwMode="auto">
        <a:xfrm>
          <a:off x="6905625" y="2179536"/>
          <a:ext cx="600075" cy="304290"/>
        </a:xfrm>
        <a:prstGeom prst="rect">
          <a:avLst/>
        </a:prstGeom>
        <a:noFill/>
        <a:ln w="9525">
          <a:noFill/>
          <a:miter lim="800000"/>
          <a:headEnd/>
          <a:tailEnd/>
        </a:ln>
      </xdr:spPr>
      <xdr:txBody>
        <a:bodyPr vertOverflow="clip" wrap="square" lIns="27432" tIns="22860" rIns="0" bIns="0" anchor="ctr" upright="1"/>
        <a:lstStyle/>
        <a:p>
          <a:pPr algn="ctr" rtl="0">
            <a:defRPr sz="1000"/>
          </a:pPr>
          <a:fld id="{F430775D-5566-4B2B-9D86-4FABD1E02F13}" type="TxLink">
            <a:rPr lang="en-US" sz="1350" b="1" i="0" u="none" strike="noStrike">
              <a:solidFill>
                <a:srgbClr val="FF0000"/>
              </a:solidFill>
              <a:latin typeface="Arial"/>
              <a:cs typeface="Arial"/>
            </a:rPr>
            <a:pPr algn="ctr" rtl="0">
              <a:defRPr sz="1000"/>
            </a:pPr>
            <a:t> </a:t>
          </a:fld>
          <a:endParaRPr lang="en-US" sz="1350" b="1" i="0" strike="noStrike">
            <a:solidFill>
              <a:srgbClr val="FF0000"/>
            </a:solidFill>
            <a:latin typeface="Arial" pitchFamily="34" charset="0"/>
            <a:cs typeface="Arial" pitchFamily="34" charset="0"/>
          </a:endParaRPr>
        </a:p>
      </xdr:txBody>
    </xdr:sp>
    <xdr:clientData/>
  </xdr:twoCellAnchor>
  <xdr:twoCellAnchor>
    <xdr:from>
      <xdr:col>7</xdr:col>
      <xdr:colOff>278538</xdr:colOff>
      <xdr:row>14</xdr:row>
      <xdr:rowOff>146072</xdr:rowOff>
    </xdr:from>
    <xdr:to>
      <xdr:col>7</xdr:col>
      <xdr:colOff>944932</xdr:colOff>
      <xdr:row>17</xdr:row>
      <xdr:rowOff>6926</xdr:rowOff>
    </xdr:to>
    <xdr:sp macro="" textlink="'Variable Mgmt'!B210">
      <xdr:nvSpPr>
        <xdr:cNvPr id="130" name="Text Box 285"/>
        <xdr:cNvSpPr txBox="1">
          <a:spLocks noChangeArrowheads="1" noTextEdit="1"/>
        </xdr:cNvSpPr>
      </xdr:nvSpPr>
      <xdr:spPr bwMode="auto">
        <a:xfrm>
          <a:off x="7050813" y="2413022"/>
          <a:ext cx="666394" cy="346629"/>
        </a:xfrm>
        <a:prstGeom prst="rect">
          <a:avLst/>
        </a:prstGeom>
        <a:noFill/>
        <a:ln w="9525">
          <a:noFill/>
          <a:miter lim="800000"/>
          <a:headEnd/>
          <a:tailEnd/>
        </a:ln>
      </xdr:spPr>
      <xdr:txBody>
        <a:bodyPr vertOverflow="clip" wrap="square" lIns="27432" tIns="22860" rIns="0" bIns="0" anchor="ctr" upright="1"/>
        <a:lstStyle/>
        <a:p>
          <a:pPr algn="l" rtl="0">
            <a:defRPr sz="1000"/>
          </a:pPr>
          <a:fld id="{6CC6AC32-C574-4CE6-AE26-39476DAD0777}" type="TxLink">
            <a:rPr lang="en-US" sz="1350" b="1" i="0" u="none" strike="noStrike" baseline="0">
              <a:solidFill>
                <a:srgbClr val="FF0000"/>
              </a:solidFill>
              <a:latin typeface="Arial"/>
              <a:cs typeface="Arial"/>
            </a:rPr>
            <a:pPr algn="l" rtl="0">
              <a:defRPr sz="1000"/>
            </a:pPr>
            <a:t> </a:t>
          </a:fld>
          <a:endParaRPr lang="en-US" sz="1350" b="1" i="0" u="none" strike="noStrike" baseline="0">
            <a:solidFill>
              <a:srgbClr val="FF0000"/>
            </a:solidFill>
            <a:latin typeface="Arial" pitchFamily="34" charset="0"/>
            <a:cs typeface="Arial" pitchFamily="34" charset="0"/>
          </a:endParaRPr>
        </a:p>
      </xdr:txBody>
    </xdr:sp>
    <xdr:clientData/>
  </xdr:twoCellAnchor>
  <xdr:twoCellAnchor>
    <xdr:from>
      <xdr:col>7</xdr:col>
      <xdr:colOff>105866</xdr:colOff>
      <xdr:row>16</xdr:row>
      <xdr:rowOff>84036</xdr:rowOff>
    </xdr:from>
    <xdr:to>
      <xdr:col>7</xdr:col>
      <xdr:colOff>859940</xdr:colOff>
      <xdr:row>18</xdr:row>
      <xdr:rowOff>64476</xdr:rowOff>
    </xdr:to>
    <xdr:sp macro="" textlink="'Variable Mgmt'!B265">
      <xdr:nvSpPr>
        <xdr:cNvPr id="131" name="Text Box 286"/>
        <xdr:cNvSpPr txBox="1">
          <a:spLocks noChangeArrowheads="1" noTextEdit="1"/>
        </xdr:cNvSpPr>
      </xdr:nvSpPr>
      <xdr:spPr bwMode="auto">
        <a:xfrm>
          <a:off x="6878141" y="2674836"/>
          <a:ext cx="754074" cy="304290"/>
        </a:xfrm>
        <a:prstGeom prst="rect">
          <a:avLst/>
        </a:prstGeom>
        <a:noFill/>
        <a:ln w="9525">
          <a:noFill/>
          <a:miter lim="800000"/>
          <a:headEnd/>
          <a:tailEnd/>
        </a:ln>
      </xdr:spPr>
      <xdr:txBody>
        <a:bodyPr vertOverflow="clip" wrap="square" lIns="27432" tIns="22860" rIns="0" bIns="0" anchor="ctr" upright="1"/>
        <a:lstStyle/>
        <a:p>
          <a:pPr algn="ctr" rtl="0">
            <a:defRPr sz="1000"/>
          </a:pPr>
          <a:fld id="{21AE0BE5-7426-43AE-A5A8-768A4DEE6C58}" type="TxLink">
            <a:rPr lang="en-US" sz="1350" b="1" i="0" u="none" strike="noStrike">
              <a:solidFill>
                <a:srgbClr val="FF0000"/>
              </a:solidFill>
              <a:latin typeface="Arial"/>
              <a:cs typeface="Arial"/>
            </a:rPr>
            <a:pPr algn="ctr" rtl="0">
              <a:defRPr sz="1000"/>
            </a:pPr>
            <a:t> </a:t>
          </a:fld>
          <a:endParaRPr lang="en-US" sz="1350" b="1" i="0" strike="noStrike">
            <a:solidFill>
              <a:srgbClr val="FF0000"/>
            </a:solidFill>
            <a:latin typeface="Arial" pitchFamily="34" charset="0"/>
            <a:cs typeface="Arial" pitchFamily="34" charset="0"/>
          </a:endParaRPr>
        </a:p>
      </xdr:txBody>
    </xdr:sp>
    <xdr:clientData/>
  </xdr:twoCellAnchor>
  <xdr:twoCellAnchor>
    <xdr:from>
      <xdr:col>6</xdr:col>
      <xdr:colOff>847596</xdr:colOff>
      <xdr:row>13</xdr:row>
      <xdr:rowOff>111234</xdr:rowOff>
    </xdr:from>
    <xdr:to>
      <xdr:col>7</xdr:col>
      <xdr:colOff>265709</xdr:colOff>
      <xdr:row>14</xdr:row>
      <xdr:rowOff>132474</xdr:rowOff>
    </xdr:to>
    <xdr:sp macro="" textlink="'Variable Mgmt'!D213">
      <xdr:nvSpPr>
        <xdr:cNvPr id="132" name="Text Box 267"/>
        <xdr:cNvSpPr txBox="1">
          <a:spLocks noChangeArrowheads="1" noTextEdit="1"/>
        </xdr:cNvSpPr>
      </xdr:nvSpPr>
      <xdr:spPr bwMode="auto">
        <a:xfrm>
          <a:off x="6543546" y="2216259"/>
          <a:ext cx="494438" cy="183165"/>
        </a:xfrm>
        <a:prstGeom prst="rect">
          <a:avLst/>
        </a:prstGeom>
        <a:noFill/>
        <a:ln w="9525">
          <a:noFill/>
          <a:miter lim="800000"/>
          <a:headEnd/>
          <a:tailEnd/>
        </a:ln>
      </xdr:spPr>
      <xdr:txBody>
        <a:bodyPr vertOverflow="clip" wrap="square" lIns="27432" tIns="22860" rIns="0" bIns="0" anchor="ctr" upright="1"/>
        <a:lstStyle/>
        <a:p>
          <a:pPr algn="l" rtl="0">
            <a:defRPr sz="1000"/>
          </a:pPr>
          <a:fld id="{1BBBBB7F-554B-4BC8-BF86-B8FB4EA76457}" type="TxLink">
            <a:rPr lang="en-US" sz="1100" b="0" i="0" u="none" strike="noStrike" baseline="0">
              <a:solidFill>
                <a:srgbClr val="000000"/>
              </a:solidFill>
              <a:latin typeface="Arial"/>
              <a:cs typeface="Arial"/>
            </a:rPr>
            <a:pPr algn="l" rtl="0">
              <a:defRPr sz="1000"/>
            </a:pPr>
            <a:t> </a:t>
          </a:fld>
          <a:endParaRPr lang="en-US" sz="1100" b="0" i="0" u="none" strike="noStrike" baseline="0">
            <a:solidFill>
              <a:srgbClr val="000000"/>
            </a:solidFill>
            <a:latin typeface="Arial" pitchFamily="34" charset="0"/>
            <a:cs typeface="Arial" pitchFamily="34" charset="0"/>
          </a:endParaRPr>
        </a:p>
      </xdr:txBody>
    </xdr:sp>
    <xdr:clientData/>
  </xdr:twoCellAnchor>
  <xdr:twoCellAnchor>
    <xdr:from>
      <xdr:col>6</xdr:col>
      <xdr:colOff>847596</xdr:colOff>
      <xdr:row>16</xdr:row>
      <xdr:rowOff>35034</xdr:rowOff>
    </xdr:from>
    <xdr:to>
      <xdr:col>7</xdr:col>
      <xdr:colOff>265709</xdr:colOff>
      <xdr:row>17</xdr:row>
      <xdr:rowOff>56274</xdr:rowOff>
    </xdr:to>
    <xdr:sp macro="" textlink="'Variable Mgmt'!C213">
      <xdr:nvSpPr>
        <xdr:cNvPr id="133" name="Text Box 267"/>
        <xdr:cNvSpPr txBox="1">
          <a:spLocks noChangeArrowheads="1" noTextEdit="1"/>
        </xdr:cNvSpPr>
      </xdr:nvSpPr>
      <xdr:spPr bwMode="auto">
        <a:xfrm>
          <a:off x="6543546" y="2625834"/>
          <a:ext cx="494438" cy="183165"/>
        </a:xfrm>
        <a:prstGeom prst="rect">
          <a:avLst/>
        </a:prstGeom>
        <a:noFill/>
        <a:ln w="9525">
          <a:noFill/>
          <a:miter lim="800000"/>
          <a:headEnd/>
          <a:tailEnd/>
        </a:ln>
      </xdr:spPr>
      <xdr:txBody>
        <a:bodyPr vertOverflow="clip" wrap="square" lIns="27432" tIns="22860" rIns="0" bIns="0" anchor="ctr" upright="1"/>
        <a:lstStyle/>
        <a:p>
          <a:pPr algn="l" rtl="0">
            <a:defRPr sz="1000"/>
          </a:pPr>
          <a:fld id="{EB8BEA1C-AFA8-40F4-BE4F-A41F4D085390}" type="TxLink">
            <a:rPr lang="en-US" sz="1100" b="0" i="0" u="none" strike="noStrike" baseline="0">
              <a:solidFill>
                <a:srgbClr val="000000"/>
              </a:solidFill>
              <a:latin typeface="Arial"/>
              <a:cs typeface="Arial"/>
            </a:rPr>
            <a:pPr algn="l" rtl="0">
              <a:defRPr sz="1000"/>
            </a:pPr>
            <a:t> </a:t>
          </a:fld>
          <a:endParaRPr lang="en-US" sz="1400" b="0" i="0" u="none" strike="noStrike" baseline="0">
            <a:solidFill>
              <a:srgbClr val="000000"/>
            </a:solidFill>
            <a:latin typeface="Arial" pitchFamily="34" charset="0"/>
            <a:cs typeface="Arial" pitchFamily="34" charset="0"/>
          </a:endParaRPr>
        </a:p>
      </xdr:txBody>
    </xdr:sp>
    <xdr:clientData/>
  </xdr:twoCellAnchor>
  <xdr:twoCellAnchor>
    <xdr:from>
      <xdr:col>5</xdr:col>
      <xdr:colOff>262430</xdr:colOff>
      <xdr:row>2</xdr:row>
      <xdr:rowOff>13969</xdr:rowOff>
    </xdr:from>
    <xdr:to>
      <xdr:col>5</xdr:col>
      <xdr:colOff>585270</xdr:colOff>
      <xdr:row>3</xdr:row>
      <xdr:rowOff>86083</xdr:rowOff>
    </xdr:to>
    <xdr:sp macro="" textlink="">
      <xdr:nvSpPr>
        <xdr:cNvPr id="134" name="Text Box 244"/>
        <xdr:cNvSpPr txBox="1">
          <a:spLocks noChangeArrowheads="1"/>
        </xdr:cNvSpPr>
      </xdr:nvSpPr>
      <xdr:spPr bwMode="auto">
        <a:xfrm>
          <a:off x="5053505" y="337819"/>
          <a:ext cx="322840" cy="234039"/>
        </a:xfrm>
        <a:prstGeom prst="rect">
          <a:avLst/>
        </a:prstGeom>
        <a:noFill/>
        <a:ln w="9525">
          <a:noFill/>
          <a:miter lim="800000"/>
          <a:headEnd/>
          <a:tailEnd/>
        </a:ln>
      </xdr:spPr>
      <xdr:txBody>
        <a:bodyPr vertOverflow="clip" wrap="square" lIns="27432" tIns="27432" rIns="0" bIns="0" anchor="t" upright="1"/>
        <a:lstStyle/>
        <a:p>
          <a:pPr algn="ctr" rtl="0">
            <a:defRPr sz="1000"/>
          </a:pPr>
          <a:r>
            <a:rPr lang="en-US" sz="1100" b="0" i="0" strike="noStrike">
              <a:solidFill>
                <a:srgbClr val="000000"/>
              </a:solidFill>
              <a:latin typeface="Arial" pitchFamily="34" charset="0"/>
              <a:cs typeface="Arial" pitchFamily="34" charset="0"/>
            </a:rPr>
            <a:t>T</a:t>
          </a:r>
          <a:r>
            <a:rPr lang="en-US" sz="1100" b="0" i="0" strike="noStrike" baseline="-25000">
              <a:solidFill>
                <a:srgbClr val="000000"/>
              </a:solidFill>
              <a:latin typeface="Arial" pitchFamily="34" charset="0"/>
              <a:cs typeface="Arial" pitchFamily="34" charset="0"/>
            </a:rPr>
            <a:t>1</a:t>
          </a:r>
        </a:p>
      </xdr:txBody>
    </xdr:sp>
    <xdr:clientData/>
  </xdr:twoCellAnchor>
  <mc:AlternateContent xmlns:mc="http://schemas.openxmlformats.org/markup-compatibility/2006">
    <mc:Choice xmlns:a14="http://schemas.microsoft.com/office/drawing/2010/main" Requires="a14">
      <xdr:twoCellAnchor editAs="oneCell">
        <xdr:from>
          <xdr:col>5</xdr:col>
          <xdr:colOff>895350</xdr:colOff>
          <xdr:row>32</xdr:row>
          <xdr:rowOff>9525</xdr:rowOff>
        </xdr:from>
        <xdr:to>
          <xdr:col>6</xdr:col>
          <xdr:colOff>866775</xdr:colOff>
          <xdr:row>33</xdr:row>
          <xdr:rowOff>0</xdr:rowOff>
        </xdr:to>
        <xdr:sp macro="" textlink="">
          <xdr:nvSpPr>
            <xdr:cNvPr id="706019" name="Drop Down 1507" hidden="1">
              <a:extLst>
                <a:ext uri="{63B3BB69-23CF-44E3-9099-C40C66FF867C}">
                  <a14:compatExt spid="_x0000_s706019"/>
                </a:ext>
              </a:extLst>
            </xdr:cNvPr>
            <xdr:cNvSpPr/>
          </xdr:nvSpPr>
          <xdr:spPr>
            <a:xfrm>
              <a:off x="0" y="0"/>
              <a:ext cx="0" cy="0"/>
            </a:xfrm>
            <a:prstGeom prst="rect">
              <a:avLst/>
            </a:prstGeom>
          </xdr:spPr>
        </xdr:sp>
        <xdr:clientData/>
      </xdr:twoCellAnchor>
    </mc:Choice>
    <mc:Fallback/>
  </mc:AlternateContent>
  <xdr:twoCellAnchor>
    <xdr:from>
      <xdr:col>3</xdr:col>
      <xdr:colOff>382642</xdr:colOff>
      <xdr:row>7</xdr:row>
      <xdr:rowOff>137794</xdr:rowOff>
    </xdr:from>
    <xdr:to>
      <xdr:col>3</xdr:col>
      <xdr:colOff>705482</xdr:colOff>
      <xdr:row>9</xdr:row>
      <xdr:rowOff>47983</xdr:rowOff>
    </xdr:to>
    <xdr:sp macro="" textlink="">
      <xdr:nvSpPr>
        <xdr:cNvPr id="47" name="Text Box 244"/>
        <xdr:cNvSpPr txBox="1">
          <a:spLocks noChangeArrowheads="1"/>
        </xdr:cNvSpPr>
      </xdr:nvSpPr>
      <xdr:spPr bwMode="auto">
        <a:xfrm>
          <a:off x="2678167" y="1271269"/>
          <a:ext cx="322840" cy="234039"/>
        </a:xfrm>
        <a:prstGeom prst="rect">
          <a:avLst/>
        </a:prstGeom>
        <a:noFill/>
        <a:ln w="9525">
          <a:noFill/>
          <a:miter lim="800000"/>
          <a:headEnd/>
          <a:tailEnd/>
        </a:ln>
      </xdr:spPr>
      <xdr:txBody>
        <a:bodyPr vertOverflow="clip" wrap="square" lIns="27432" tIns="27432" rIns="0" bIns="0" anchor="t" upright="1"/>
        <a:lstStyle/>
        <a:p>
          <a:pPr algn="l" rtl="0">
            <a:defRPr sz="1000"/>
          </a:pPr>
          <a:r>
            <a:rPr lang="en-US" sz="1100" b="0" i="0" strike="noStrike">
              <a:solidFill>
                <a:srgbClr val="000000"/>
              </a:solidFill>
              <a:latin typeface="Arial" pitchFamily="34" charset="0"/>
              <a:cs typeface="Arial" pitchFamily="34" charset="0"/>
            </a:rPr>
            <a:t>U</a:t>
          </a:r>
          <a:r>
            <a:rPr lang="en-US" sz="1100" b="0" i="0" strike="noStrike" baseline="-25000">
              <a:solidFill>
                <a:srgbClr val="000000"/>
              </a:solidFill>
              <a:latin typeface="Arial" pitchFamily="34" charset="0"/>
              <a:cs typeface="Arial" pitchFamily="34" charset="0"/>
            </a:rPr>
            <a:t>1</a:t>
          </a:r>
        </a:p>
      </xdr:txBody>
    </xdr:sp>
    <xdr:clientData/>
  </xdr:twoCellAnchor>
  <mc:AlternateContent xmlns:mc="http://schemas.openxmlformats.org/markup-compatibility/2006">
    <mc:Choice xmlns:a14="http://schemas.microsoft.com/office/drawing/2010/main" Requires="a14">
      <xdr:twoCellAnchor editAs="oneCell">
        <xdr:from>
          <xdr:col>6</xdr:col>
          <xdr:colOff>0</xdr:colOff>
          <xdr:row>38</xdr:row>
          <xdr:rowOff>9525</xdr:rowOff>
        </xdr:from>
        <xdr:to>
          <xdr:col>6</xdr:col>
          <xdr:colOff>876300</xdr:colOff>
          <xdr:row>39</xdr:row>
          <xdr:rowOff>0</xdr:rowOff>
        </xdr:to>
        <xdr:sp macro="" textlink="">
          <xdr:nvSpPr>
            <xdr:cNvPr id="706028" name="Drop Down 1516" hidden="1">
              <a:extLst>
                <a:ext uri="{63B3BB69-23CF-44E3-9099-C40C66FF867C}">
                  <a14:compatExt spid="_x0000_s706028"/>
                </a:ext>
              </a:extLst>
            </xdr:cNvPr>
            <xdr:cNvSpPr/>
          </xdr:nvSpPr>
          <xdr:spPr>
            <a:xfrm>
              <a:off x="0" y="0"/>
              <a:ext cx="0" cy="0"/>
            </a:xfrm>
            <a:prstGeom prst="rect">
              <a:avLst/>
            </a:prstGeom>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editAs="oneCell">
    <xdr:from>
      <xdr:col>0</xdr:col>
      <xdr:colOff>542925</xdr:colOff>
      <xdr:row>7</xdr:row>
      <xdr:rowOff>38100</xdr:rowOff>
    </xdr:from>
    <xdr:to>
      <xdr:col>10</xdr:col>
      <xdr:colOff>419100</xdr:colOff>
      <xdr:row>62</xdr:row>
      <xdr:rowOff>107170</xdr:rowOff>
    </xdr:to>
    <xdr:pic>
      <xdr:nvPicPr>
        <xdr:cNvPr id="8" name="Picture 7"/>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42925" y="1704975"/>
          <a:ext cx="5972175" cy="89749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533400</xdr:colOff>
      <xdr:row>7</xdr:row>
      <xdr:rowOff>38100</xdr:rowOff>
    </xdr:from>
    <xdr:to>
      <xdr:col>21</xdr:col>
      <xdr:colOff>552450</xdr:colOff>
      <xdr:row>62</xdr:row>
      <xdr:rowOff>145539</xdr:rowOff>
    </xdr:to>
    <xdr:pic>
      <xdr:nvPicPr>
        <xdr:cNvPr id="10" name="Picture 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48600" y="1704975"/>
          <a:ext cx="6124575" cy="90133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9</xdr:col>
          <xdr:colOff>447675</xdr:colOff>
          <xdr:row>6</xdr:row>
          <xdr:rowOff>19050</xdr:rowOff>
        </xdr:from>
        <xdr:to>
          <xdr:col>10</xdr:col>
          <xdr:colOff>666750</xdr:colOff>
          <xdr:row>7</xdr:row>
          <xdr:rowOff>95250</xdr:rowOff>
        </xdr:to>
        <xdr:sp macro="" textlink="">
          <xdr:nvSpPr>
            <xdr:cNvPr id="721921" name="Drop Down 1" hidden="1">
              <a:extLst>
                <a:ext uri="{63B3BB69-23CF-44E3-9099-C40C66FF867C}">
                  <a14:compatExt spid="_x0000_s721921"/>
                </a:ext>
              </a:extLst>
            </xdr:cNvPr>
            <xdr:cNvSpPr/>
          </xdr:nvSpPr>
          <xdr:spPr>
            <a:xfrm>
              <a:off x="0" y="0"/>
              <a:ext cx="0" cy="0"/>
            </a:xfrm>
            <a:prstGeom prst="rect">
              <a:avLst/>
            </a:prstGeom>
          </xdr:spPr>
        </xdr:sp>
        <xdr:clientData fLocksWithSheet="0"/>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8</xdr:col>
      <xdr:colOff>152400</xdr:colOff>
      <xdr:row>9</xdr:row>
      <xdr:rowOff>0</xdr:rowOff>
    </xdr:from>
    <xdr:to>
      <xdr:col>23</xdr:col>
      <xdr:colOff>38100</xdr:colOff>
      <xdr:row>40</xdr:row>
      <xdr:rowOff>1732</xdr:rowOff>
    </xdr:to>
    <xdr:graphicFrame macro="">
      <xdr:nvGraphicFramePr>
        <xdr:cNvPr id="3" name="Chart 25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142875</xdr:colOff>
      <xdr:row>40</xdr:row>
      <xdr:rowOff>123825</xdr:rowOff>
    </xdr:from>
    <xdr:to>
      <xdr:col>23</xdr:col>
      <xdr:colOff>19050</xdr:colOff>
      <xdr:row>71</xdr:row>
      <xdr:rowOff>125557</xdr:rowOff>
    </xdr:to>
    <xdr:graphicFrame macro="">
      <xdr:nvGraphicFramePr>
        <xdr:cNvPr id="4" name="Chart 25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28</xdr:col>
      <xdr:colOff>200025</xdr:colOff>
      <xdr:row>40</xdr:row>
      <xdr:rowOff>114300</xdr:rowOff>
    </xdr:from>
    <xdr:to>
      <xdr:col>46</xdr:col>
      <xdr:colOff>333375</xdr:colOff>
      <xdr:row>71</xdr:row>
      <xdr:rowOff>116032</xdr:rowOff>
    </xdr:to>
    <xdr:graphicFrame macro="">
      <xdr:nvGraphicFramePr>
        <xdr:cNvPr id="6" name="Chart 25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28</xdr:col>
      <xdr:colOff>228600</xdr:colOff>
      <xdr:row>9</xdr:row>
      <xdr:rowOff>28575</xdr:rowOff>
    </xdr:from>
    <xdr:to>
      <xdr:col>46</xdr:col>
      <xdr:colOff>361950</xdr:colOff>
      <xdr:row>40</xdr:row>
      <xdr:rowOff>30307</xdr:rowOff>
    </xdr:to>
    <xdr:graphicFrame macro="">
      <xdr:nvGraphicFramePr>
        <xdr:cNvPr id="7" name="Chart 25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159205</xdr:colOff>
      <xdr:row>72</xdr:row>
      <xdr:rowOff>141513</xdr:rowOff>
    </xdr:from>
    <xdr:to>
      <xdr:col>23</xdr:col>
      <xdr:colOff>0</xdr:colOff>
      <xdr:row>101</xdr:row>
      <xdr:rowOff>123825</xdr:rowOff>
    </xdr:to>
    <xdr:graphicFrame macro="">
      <xdr:nvGraphicFramePr>
        <xdr:cNvPr id="9" name="Chart 25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10</xdr:col>
      <xdr:colOff>342900</xdr:colOff>
      <xdr:row>9</xdr:row>
      <xdr:rowOff>19050</xdr:rowOff>
    </xdr:from>
    <xdr:to>
      <xdr:col>27</xdr:col>
      <xdr:colOff>47625</xdr:colOff>
      <xdr:row>40</xdr:row>
      <xdr:rowOff>20782</xdr:rowOff>
    </xdr:to>
    <xdr:graphicFrame macro="">
      <xdr:nvGraphicFramePr>
        <xdr:cNvPr id="2" name="Chart 25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352425</xdr:colOff>
      <xdr:row>41</xdr:row>
      <xdr:rowOff>0</xdr:rowOff>
    </xdr:from>
    <xdr:to>
      <xdr:col>27</xdr:col>
      <xdr:colOff>57150</xdr:colOff>
      <xdr:row>72</xdr:row>
      <xdr:rowOff>1732</xdr:rowOff>
    </xdr:to>
    <xdr:graphicFrame macro="">
      <xdr:nvGraphicFramePr>
        <xdr:cNvPr id="3" name="Chart 25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194582</xdr:colOff>
      <xdr:row>41</xdr:row>
      <xdr:rowOff>21771</xdr:rowOff>
    </xdr:from>
    <xdr:to>
      <xdr:col>47</xdr:col>
      <xdr:colOff>123825</xdr:colOff>
      <xdr:row>72</xdr:row>
      <xdr:rowOff>23503</xdr:rowOff>
    </xdr:to>
    <xdr:graphicFrame macro="">
      <xdr:nvGraphicFramePr>
        <xdr:cNvPr id="4" name="Chart 25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27</xdr:col>
      <xdr:colOff>228600</xdr:colOff>
      <xdr:row>9</xdr:row>
      <xdr:rowOff>28575</xdr:rowOff>
    </xdr:from>
    <xdr:to>
      <xdr:col>47</xdr:col>
      <xdr:colOff>19050</xdr:colOff>
      <xdr:row>40</xdr:row>
      <xdr:rowOff>30307</xdr:rowOff>
    </xdr:to>
    <xdr:graphicFrame macro="">
      <xdr:nvGraphicFramePr>
        <xdr:cNvPr id="5" name="Chart 25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329046</xdr:colOff>
      <xdr:row>72</xdr:row>
      <xdr:rowOff>138546</xdr:rowOff>
    </xdr:from>
    <xdr:to>
      <xdr:col>27</xdr:col>
      <xdr:colOff>33771</xdr:colOff>
      <xdr:row>103</xdr:row>
      <xdr:rowOff>140278</xdr:rowOff>
    </xdr:to>
    <xdr:graphicFrame macro="">
      <xdr:nvGraphicFramePr>
        <xdr:cNvPr id="6" name="Chart 25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19</xdr:col>
      <xdr:colOff>0</xdr:colOff>
      <xdr:row>12</xdr:row>
      <xdr:rowOff>0</xdr:rowOff>
    </xdr:from>
    <xdr:to>
      <xdr:col>33</xdr:col>
      <xdr:colOff>248709</xdr:colOff>
      <xdr:row>40</xdr:row>
      <xdr:rowOff>61288</xdr:rowOff>
    </xdr:to>
    <xdr:graphicFrame macro="">
      <xdr:nvGraphicFramePr>
        <xdr:cNvPr id="2"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85725</xdr:colOff>
      <xdr:row>111</xdr:row>
      <xdr:rowOff>114300</xdr:rowOff>
    </xdr:from>
    <xdr:to>
      <xdr:col>20</xdr:col>
      <xdr:colOff>161925</xdr:colOff>
      <xdr:row>144</xdr:row>
      <xdr:rowOff>76200</xdr:rowOff>
    </xdr:to>
    <xdr:graphicFrame macro="">
      <xdr:nvGraphicFramePr>
        <xdr:cNvPr id="3" name="Chart 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1600199</xdr:colOff>
      <xdr:row>4</xdr:row>
      <xdr:rowOff>95250</xdr:rowOff>
    </xdr:from>
    <xdr:to>
      <xdr:col>4</xdr:col>
      <xdr:colOff>3267074</xdr:colOff>
      <xdr:row>4</xdr:row>
      <xdr:rowOff>535385</xdr:rowOff>
    </xdr:to>
    <xdr:pic>
      <xdr:nvPicPr>
        <xdr:cNvPr id="4" name="Picture 84"/>
        <xdr:cNvPicPr>
          <a:picLocks noChangeAspect="1" noChangeArrowheads="1"/>
        </xdr:cNvPicPr>
      </xdr:nvPicPr>
      <xdr:blipFill>
        <a:blip xmlns:r="http://schemas.openxmlformats.org/officeDocument/2006/relationships" r:embed="rId2" cstate="print"/>
        <a:srcRect/>
        <a:stretch>
          <a:fillRect/>
        </a:stretch>
      </xdr:blipFill>
      <xdr:spPr bwMode="auto">
        <a:xfrm>
          <a:off x="4857749" y="800100"/>
          <a:ext cx="1666875" cy="440135"/>
        </a:xfrm>
        <a:prstGeom prst="rect">
          <a:avLst/>
        </a:prstGeom>
        <a:noFill/>
        <a:ln w="1">
          <a:noFill/>
          <a:miter lim="800000"/>
          <a:headEnd/>
          <a:tailEnd type="none" w="med" len="med"/>
        </a:ln>
        <a:effectLst/>
      </xdr:spPr>
    </xdr:pic>
    <xdr:clientData/>
  </xdr:twoCellAnchor>
  <xdr:twoCellAnchor>
    <xdr:from>
      <xdr:col>0</xdr:col>
      <xdr:colOff>95250</xdr:colOff>
      <xdr:row>148</xdr:row>
      <xdr:rowOff>76200</xdr:rowOff>
    </xdr:from>
    <xdr:to>
      <xdr:col>20</xdr:col>
      <xdr:colOff>687917</xdr:colOff>
      <xdr:row>181</xdr:row>
      <xdr:rowOff>38100</xdr:rowOff>
    </xdr:to>
    <xdr:graphicFrame macro="">
      <xdr:nvGraphicFramePr>
        <xdr:cNvPr id="8" name="Chart 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mc:AlternateContent xmlns:mc="http://schemas.openxmlformats.org/markup-compatibility/2006">
    <mc:Choice xmlns:a14="http://schemas.microsoft.com/office/drawing/2010/main" Requires="a14">
      <xdr:twoCellAnchor editAs="oneCell">
        <xdr:from>
          <xdr:col>22</xdr:col>
          <xdr:colOff>180975</xdr:colOff>
          <xdr:row>111</xdr:row>
          <xdr:rowOff>142875</xdr:rowOff>
        </xdr:from>
        <xdr:to>
          <xdr:col>36</xdr:col>
          <xdr:colOff>9525</xdr:colOff>
          <xdr:row>125</xdr:row>
          <xdr:rowOff>142875</xdr:rowOff>
        </xdr:to>
        <xdr:sp macro="" textlink="">
          <xdr:nvSpPr>
            <xdr:cNvPr id="683009" name="Object 1" hidden="1">
              <a:extLst>
                <a:ext uri="{63B3BB69-23CF-44E3-9099-C40C66FF867C}">
                  <a14:compatExt spid="_x0000_s683009"/>
                </a:ext>
              </a:extLst>
            </xdr:cNvPr>
            <xdr:cNvSpPr/>
          </xdr:nvSpPr>
          <xdr:spPr>
            <a:xfrm>
              <a:off x="0" y="0"/>
              <a:ext cx="0" cy="0"/>
            </a:xfrm>
            <a:prstGeom prst="rect">
              <a:avLst/>
            </a:prstGeom>
          </xdr:spPr>
        </xdr:sp>
        <xdr:clientData/>
      </xdr:twoCellAnchor>
    </mc:Choice>
    <mc:Fallback/>
  </mc:AlternateContent>
  <xdr:twoCellAnchor>
    <xdr:from>
      <xdr:col>0</xdr:col>
      <xdr:colOff>392906</xdr:colOff>
      <xdr:row>218</xdr:row>
      <xdr:rowOff>130969</xdr:rowOff>
    </xdr:from>
    <xdr:to>
      <xdr:col>19</xdr:col>
      <xdr:colOff>626267</xdr:colOff>
      <xdr:row>250</xdr:row>
      <xdr:rowOff>124619</xdr:rowOff>
    </xdr:to>
    <xdr:graphicFrame macro="">
      <xdr:nvGraphicFramePr>
        <xdr:cNvPr id="13" name="Chart 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35718</xdr:colOff>
      <xdr:row>255</xdr:row>
      <xdr:rowOff>47626</xdr:rowOff>
    </xdr:from>
    <xdr:to>
      <xdr:col>13</xdr:col>
      <xdr:colOff>16668</xdr:colOff>
      <xdr:row>287</xdr:row>
      <xdr:rowOff>104776</xdr:rowOff>
    </xdr:to>
    <xdr:graphicFrame macro="">
      <xdr:nvGraphicFramePr>
        <xdr:cNvPr id="16" name="Chart 25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xdr:col>
      <xdr:colOff>28575</xdr:colOff>
      <xdr:row>289</xdr:row>
      <xdr:rowOff>66675</xdr:rowOff>
    </xdr:from>
    <xdr:to>
      <xdr:col>13</xdr:col>
      <xdr:colOff>9525</xdr:colOff>
      <xdr:row>321</xdr:row>
      <xdr:rowOff>123825</xdr:rowOff>
    </xdr:to>
    <xdr:graphicFrame macro="">
      <xdr:nvGraphicFramePr>
        <xdr:cNvPr id="15" name="Chart 25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95251</xdr:colOff>
      <xdr:row>182</xdr:row>
      <xdr:rowOff>100853</xdr:rowOff>
    </xdr:from>
    <xdr:to>
      <xdr:col>20</xdr:col>
      <xdr:colOff>708023</xdr:colOff>
      <xdr:row>215</xdr:row>
      <xdr:rowOff>62753</xdr:rowOff>
    </xdr:to>
    <xdr:graphicFrame macro="">
      <xdr:nvGraphicFramePr>
        <xdr:cNvPr id="17" name="Chart 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9.xml><?xml version="1.0" encoding="utf-8"?>
<c:userShapes xmlns:c="http://schemas.openxmlformats.org/drawingml/2006/chart">
  <cdr:relSizeAnchor xmlns:cdr="http://schemas.openxmlformats.org/drawingml/2006/chartDrawing">
    <cdr:from>
      <cdr:x>0.16877</cdr:x>
      <cdr:y>0.12917</cdr:y>
    </cdr:from>
    <cdr:to>
      <cdr:x>0.23482</cdr:x>
      <cdr:y>0.16636</cdr:y>
    </cdr:to>
    <cdr:sp macro="" textlink="'Variable Mgmt'!$B$256">
      <cdr:nvSpPr>
        <cdr:cNvPr id="2" name="Text Box 24"/>
        <cdr:cNvSpPr txBox="1">
          <a:spLocks xmlns:a="http://schemas.openxmlformats.org/drawingml/2006/main" noChangeArrowheads="1" noTextEdit="1"/>
        </cdr:cNvSpPr>
      </cdr:nvSpPr>
      <cdr:spPr bwMode="auto">
        <a:xfrm xmlns:a="http://schemas.openxmlformats.org/drawingml/2006/main">
          <a:off x="1403360" y="665601"/>
          <a:ext cx="549265" cy="19165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27432" tIns="22860" rIns="0" bIns="22860" anchor="b"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fld id="{FB7B9190-533F-41A0-B9F6-41424F4E3D27}" type="TxLink">
            <a:rPr lang="en-US" sz="1100" b="0" i="0" u="none" strike="noStrike" baseline="0">
              <a:solidFill>
                <a:srgbClr val="000000"/>
              </a:solidFill>
              <a:latin typeface="Arial"/>
              <a:cs typeface="Arial"/>
            </a:rPr>
            <a:pPr algn="l" rtl="0">
              <a:defRPr sz="1000"/>
            </a:pPr>
            <a:t>84.9%</a:t>
          </a:fld>
          <a:endParaRPr lang="en-US" sz="1100" b="1" i="0" u="none" strike="noStrike" baseline="0">
            <a:solidFill>
              <a:srgbClr val="000000"/>
            </a:solidFill>
            <a:latin typeface="Arial" pitchFamily="34" charset="0"/>
            <a:cs typeface="Arial" pitchFamily="34" charset="0"/>
          </a:endParaRPr>
        </a:p>
      </cdr:txBody>
    </cdr:sp>
  </cdr:relSizeAnchor>
</c:userShape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xDef>
      <a:spPr bwMode="auto">
        <a:noFill/>
        <a:ln w="9525">
          <a:noFill/>
          <a:miter lim="800000"/>
          <a:headEnd/>
          <a:tailEnd/>
        </a:ln>
      </a:spPr>
      <a:bodyPr vertOverflow="clip" wrap="square" lIns="27432" tIns="27432" rIns="0" bIns="0" anchor="t" upright="1"/>
      <a:lstStyle>
        <a:defPPr algn="l" rtl="0">
          <a:defRPr sz="1100" b="0" i="0" strike="noStrike">
            <a:solidFill>
              <a:srgbClr val="000000"/>
            </a:solidFill>
            <a:latin typeface="Calibri"/>
          </a:defRPr>
        </a:defPPr>
      </a:lstStyle>
    </a:tx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3.xml"/><Relationship Id="rId3" Type="http://schemas.openxmlformats.org/officeDocument/2006/relationships/drawing" Target="../drawings/drawing1.xml"/><Relationship Id="rId7" Type="http://schemas.openxmlformats.org/officeDocument/2006/relationships/ctrlProp" Target="../ctrlProps/ctrlProp2.xml"/><Relationship Id="rId12" Type="http://schemas.openxmlformats.org/officeDocument/2006/relationships/comments" Target="../comments1.xml"/><Relationship Id="rId2" Type="http://schemas.openxmlformats.org/officeDocument/2006/relationships/printerSettings" Target="../printerSettings/printerSettings1.bin"/><Relationship Id="rId1" Type="http://schemas.openxmlformats.org/officeDocument/2006/relationships/hyperlink" Target="http://www.ti.com/widevin" TargetMode="External"/><Relationship Id="rId6" Type="http://schemas.openxmlformats.org/officeDocument/2006/relationships/ctrlProp" Target="../ctrlProps/ctrlProp1.xml"/><Relationship Id="rId11" Type="http://schemas.openxmlformats.org/officeDocument/2006/relationships/ctrlProp" Target="../ctrlProps/ctrlProp6.xml"/><Relationship Id="rId5" Type="http://schemas.openxmlformats.org/officeDocument/2006/relationships/vmlDrawing" Target="../drawings/vmlDrawing2.vml"/><Relationship Id="rId10" Type="http://schemas.openxmlformats.org/officeDocument/2006/relationships/ctrlProp" Target="../ctrlProps/ctrlProp5.xml"/><Relationship Id="rId4" Type="http://schemas.openxmlformats.org/officeDocument/2006/relationships/vmlDrawing" Target="../drawings/vmlDrawing1.vml"/><Relationship Id="rId9" Type="http://schemas.openxmlformats.org/officeDocument/2006/relationships/ctrlProp" Target="../ctrlProps/ctrlProp4.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2.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11.xml"/><Relationship Id="rId13" Type="http://schemas.openxmlformats.org/officeDocument/2006/relationships/ctrlProp" Target="../ctrlProps/ctrlProp16.xml"/><Relationship Id="rId18" Type="http://schemas.openxmlformats.org/officeDocument/2006/relationships/ctrlProp" Target="../ctrlProps/ctrlProp21.xml"/><Relationship Id="rId3" Type="http://schemas.openxmlformats.org/officeDocument/2006/relationships/vmlDrawing" Target="../drawings/vmlDrawing3.vml"/><Relationship Id="rId7" Type="http://schemas.openxmlformats.org/officeDocument/2006/relationships/ctrlProp" Target="../ctrlProps/ctrlProp10.xml"/><Relationship Id="rId12" Type="http://schemas.openxmlformats.org/officeDocument/2006/relationships/ctrlProp" Target="../ctrlProps/ctrlProp15.xml"/><Relationship Id="rId17" Type="http://schemas.openxmlformats.org/officeDocument/2006/relationships/ctrlProp" Target="../ctrlProps/ctrlProp20.xml"/><Relationship Id="rId2" Type="http://schemas.openxmlformats.org/officeDocument/2006/relationships/drawing" Target="../drawings/drawing2.xml"/><Relationship Id="rId16" Type="http://schemas.openxmlformats.org/officeDocument/2006/relationships/ctrlProp" Target="../ctrlProps/ctrlProp19.xml"/><Relationship Id="rId1" Type="http://schemas.openxmlformats.org/officeDocument/2006/relationships/printerSettings" Target="../printerSettings/printerSettings2.bin"/><Relationship Id="rId6" Type="http://schemas.openxmlformats.org/officeDocument/2006/relationships/ctrlProp" Target="../ctrlProps/ctrlProp9.xml"/><Relationship Id="rId11" Type="http://schemas.openxmlformats.org/officeDocument/2006/relationships/ctrlProp" Target="../ctrlProps/ctrlProp14.xml"/><Relationship Id="rId5" Type="http://schemas.openxmlformats.org/officeDocument/2006/relationships/ctrlProp" Target="../ctrlProps/ctrlProp8.xml"/><Relationship Id="rId15" Type="http://schemas.openxmlformats.org/officeDocument/2006/relationships/ctrlProp" Target="../ctrlProps/ctrlProp18.xml"/><Relationship Id="rId10" Type="http://schemas.openxmlformats.org/officeDocument/2006/relationships/ctrlProp" Target="../ctrlProps/ctrlProp13.xml"/><Relationship Id="rId4" Type="http://schemas.openxmlformats.org/officeDocument/2006/relationships/ctrlProp" Target="../ctrlProps/ctrlProp7.xml"/><Relationship Id="rId9" Type="http://schemas.openxmlformats.org/officeDocument/2006/relationships/ctrlProp" Target="../ctrlProps/ctrlProp12.xml"/><Relationship Id="rId14" Type="http://schemas.openxmlformats.org/officeDocument/2006/relationships/ctrlProp" Target="../ctrlProps/ctrlProp17.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trlProp" Target="../ctrlProps/ctrlProp22.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8.xml"/><Relationship Id="rId1" Type="http://schemas.openxmlformats.org/officeDocument/2006/relationships/printerSettings" Target="../printerSettings/printerSettings7.bin"/><Relationship Id="rId6" Type="http://schemas.openxmlformats.org/officeDocument/2006/relationships/comments" Target="../comments2.xml"/><Relationship Id="rId5" Type="http://schemas.openxmlformats.org/officeDocument/2006/relationships/image" Target="../media/image15.emf"/><Relationship Id="rId4" Type="http://schemas.openxmlformats.org/officeDocument/2006/relationships/oleObject" Target="../embeddings/oleObject1.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AI53"/>
  <sheetViews>
    <sheetView tabSelected="1" zoomScaleNormal="100" zoomScaleSheetLayoutView="70" workbookViewId="0">
      <selection activeCell="L9" sqref="L9"/>
    </sheetView>
  </sheetViews>
  <sheetFormatPr defaultColWidth="9.140625" defaultRowHeight="12.75" x14ac:dyDescent="0.2"/>
  <cols>
    <col min="1" max="1" width="8.28515625" style="109" customWidth="1"/>
    <col min="2" max="2" width="8.28515625" style="48" customWidth="1"/>
    <col min="3" max="3" width="13.5703125" style="48" customWidth="1"/>
    <col min="4" max="4" width="9.85546875" style="48" customWidth="1"/>
    <col min="5" max="5" width="9.140625" style="48" customWidth="1"/>
    <col min="6" max="6" width="8.7109375" style="48" customWidth="1"/>
    <col min="7" max="7" width="2.7109375" style="48" customWidth="1"/>
    <col min="8" max="9" width="8.28515625" style="48" customWidth="1"/>
    <col min="10" max="10" width="13.7109375" style="48" customWidth="1"/>
    <col min="11" max="11" width="10" style="48" customWidth="1"/>
    <col min="12" max="12" width="9.42578125" style="48" customWidth="1"/>
    <col min="13" max="13" width="8.7109375" style="48" customWidth="1"/>
    <col min="14" max="15" width="9.140625" style="48"/>
    <col min="16" max="18" width="10.140625" style="48" customWidth="1"/>
    <col min="19" max="19" width="10" style="48" bestFit="1" customWidth="1"/>
    <col min="20" max="25" width="9.140625" style="48"/>
    <col min="26" max="26" width="29" style="48" customWidth="1"/>
    <col min="27" max="27" width="3.140625" style="48" customWidth="1"/>
    <col min="28" max="16384" width="9.140625" style="48"/>
  </cols>
  <sheetData>
    <row r="1" spans="1:27" ht="47.25" customHeight="1" x14ac:dyDescent="0.2">
      <c r="A1" s="535" t="s">
        <v>379</v>
      </c>
      <c r="B1" s="533"/>
      <c r="C1" s="533"/>
      <c r="D1" s="533"/>
      <c r="E1" s="533"/>
      <c r="F1" s="533"/>
      <c r="G1" s="533"/>
      <c r="H1" s="533"/>
      <c r="I1" s="533"/>
      <c r="J1" s="533"/>
      <c r="K1" s="533"/>
      <c r="L1" s="533"/>
      <c r="M1" s="533"/>
      <c r="N1" s="533"/>
      <c r="O1" s="533"/>
      <c r="P1" s="533"/>
      <c r="Q1" s="533"/>
      <c r="R1" s="534"/>
      <c r="S1" s="534"/>
      <c r="T1" s="534"/>
      <c r="U1" s="534"/>
      <c r="V1" s="426"/>
      <c r="W1" s="426"/>
      <c r="X1" s="426"/>
      <c r="Y1" s="426"/>
      <c r="Z1" s="426"/>
      <c r="AA1" s="426"/>
    </row>
    <row r="2" spans="1:27" ht="14.1" customHeight="1" x14ac:dyDescent="0.45">
      <c r="A2" s="407"/>
      <c r="B2" s="408"/>
      <c r="C2" s="408"/>
      <c r="D2" s="408"/>
      <c r="E2" s="408"/>
      <c r="F2" s="408"/>
      <c r="G2" s="408"/>
      <c r="H2" s="408"/>
      <c r="I2" s="408"/>
      <c r="J2" s="408"/>
      <c r="K2" s="408"/>
      <c r="L2" s="408"/>
      <c r="M2" s="408"/>
      <c r="N2" s="408"/>
      <c r="O2" s="421"/>
      <c r="P2" s="408"/>
      <c r="Q2" s="408"/>
      <c r="R2" s="416"/>
      <c r="S2" s="514"/>
      <c r="T2" s="514"/>
      <c r="U2" s="514"/>
      <c r="V2" s="514"/>
      <c r="W2" s="514"/>
      <c r="X2" s="514"/>
      <c r="Y2" s="514"/>
      <c r="Z2" s="514"/>
      <c r="AA2" s="514"/>
    </row>
    <row r="3" spans="1:27" ht="15.95" customHeight="1" x14ac:dyDescent="0.45">
      <c r="A3" s="409" t="s">
        <v>105</v>
      </c>
      <c r="B3" s="410"/>
      <c r="C3" s="422" t="s">
        <v>106</v>
      </c>
      <c r="D3" s="411"/>
      <c r="E3" s="85"/>
      <c r="F3" s="413" t="s">
        <v>59</v>
      </c>
      <c r="G3" s="412"/>
      <c r="H3" s="408"/>
      <c r="I3" s="408"/>
      <c r="J3" s="412"/>
      <c r="K3" s="414"/>
      <c r="L3" s="415"/>
      <c r="M3" s="416"/>
      <c r="N3" s="416"/>
      <c r="O3" s="514"/>
      <c r="P3" s="2"/>
      <c r="Q3" s="416" t="s">
        <v>77</v>
      </c>
      <c r="R3" s="416"/>
      <c r="S3" s="514"/>
      <c r="T3" s="514"/>
      <c r="U3" s="536" t="s">
        <v>319</v>
      </c>
      <c r="V3" s="514"/>
      <c r="W3" s="514"/>
      <c r="X3" s="514"/>
      <c r="Y3" s="514"/>
      <c r="Z3" s="514"/>
      <c r="AA3" s="514"/>
    </row>
    <row r="4" spans="1:27" ht="14.1" customHeight="1" thickBot="1" x14ac:dyDescent="0.35">
      <c r="A4" s="417"/>
      <c r="B4" s="418"/>
      <c r="C4" s="419"/>
      <c r="D4" s="419"/>
      <c r="E4" s="419"/>
      <c r="F4" s="419"/>
      <c r="G4" s="419"/>
      <c r="H4" s="419"/>
      <c r="I4" s="419"/>
      <c r="J4" s="419"/>
      <c r="K4" s="419"/>
      <c r="L4" s="419"/>
      <c r="M4" s="420"/>
      <c r="N4" s="420"/>
      <c r="O4" s="420"/>
      <c r="P4" s="420"/>
      <c r="Q4" s="420"/>
      <c r="R4" s="416"/>
      <c r="S4" s="514"/>
      <c r="T4" s="514"/>
      <c r="U4" s="514"/>
      <c r="V4" s="514"/>
      <c r="W4" s="514"/>
      <c r="X4" s="514"/>
      <c r="Y4" s="514"/>
      <c r="Z4" s="514"/>
      <c r="AA4" s="514"/>
    </row>
    <row r="5" spans="1:27" ht="19.5" customHeight="1" thickBot="1" x14ac:dyDescent="0.35">
      <c r="A5" s="108" t="s">
        <v>101</v>
      </c>
      <c r="B5" s="83"/>
      <c r="C5" s="49"/>
      <c r="D5" s="49"/>
      <c r="E5" s="50"/>
      <c r="F5" s="49"/>
      <c r="G5" s="74"/>
      <c r="H5" s="606" t="s">
        <v>366</v>
      </c>
      <c r="I5" s="94"/>
      <c r="J5" s="95"/>
      <c r="K5" s="95"/>
      <c r="L5" s="96"/>
      <c r="M5" s="364"/>
      <c r="N5" s="51"/>
      <c r="O5" s="51"/>
      <c r="P5" s="51"/>
      <c r="Q5" s="51"/>
      <c r="R5" s="515"/>
      <c r="S5" s="515"/>
      <c r="T5" s="515"/>
      <c r="U5" s="515"/>
      <c r="V5" s="515"/>
      <c r="W5" s="515"/>
      <c r="X5" s="515"/>
      <c r="Y5" s="515"/>
      <c r="Z5" s="519"/>
      <c r="AA5" s="514"/>
    </row>
    <row r="6" spans="1:27" ht="15.75" customHeight="1" x14ac:dyDescent="0.2">
      <c r="A6" s="143"/>
      <c r="B6" s="144"/>
      <c r="C6" s="145"/>
      <c r="D6" s="146" t="s">
        <v>375</v>
      </c>
      <c r="E6" s="147">
        <v>7</v>
      </c>
      <c r="F6" s="436" t="s">
        <v>0</v>
      </c>
      <c r="G6" s="92"/>
      <c r="H6" s="467"/>
      <c r="I6" s="523"/>
      <c r="J6" s="214"/>
      <c r="K6" s="524" t="s">
        <v>691</v>
      </c>
      <c r="L6" s="654">
        <f>Lmin</f>
        <v>26.293103448275861</v>
      </c>
      <c r="M6" s="657" t="s">
        <v>96</v>
      </c>
      <c r="N6" s="51"/>
      <c r="O6" s="51"/>
      <c r="P6" s="51"/>
      <c r="Q6" s="51"/>
      <c r="R6" s="84"/>
      <c r="S6" s="84"/>
      <c r="T6" s="77"/>
      <c r="U6" s="77"/>
      <c r="V6" s="77"/>
      <c r="W6" s="77"/>
      <c r="X6" s="77"/>
      <c r="Y6" s="77"/>
      <c r="Z6" s="520"/>
      <c r="AA6" s="514"/>
    </row>
    <row r="7" spans="1:27" ht="14.25" customHeight="1" x14ac:dyDescent="0.25">
      <c r="A7" s="137"/>
      <c r="B7" s="136"/>
      <c r="C7" s="138"/>
      <c r="D7" s="148" t="s">
        <v>376</v>
      </c>
      <c r="E7" s="149">
        <v>12</v>
      </c>
      <c r="F7" s="437" t="s">
        <v>0</v>
      </c>
      <c r="G7" s="92"/>
      <c r="H7" s="90"/>
      <c r="I7" s="91"/>
      <c r="J7" s="89"/>
      <c r="K7" s="102" t="s">
        <v>373</v>
      </c>
      <c r="L7" s="149">
        <v>40</v>
      </c>
      <c r="M7" s="437" t="s">
        <v>96</v>
      </c>
      <c r="N7" s="51"/>
      <c r="O7" s="51"/>
      <c r="P7" s="51"/>
      <c r="Q7" s="51"/>
      <c r="R7" s="84"/>
      <c r="S7" s="84"/>
      <c r="T7" s="77"/>
      <c r="U7" s="77"/>
      <c r="V7" s="77"/>
      <c r="W7" s="77"/>
      <c r="X7" s="77"/>
      <c r="Y7" s="77"/>
      <c r="Z7" s="520"/>
      <c r="AA7" s="514"/>
    </row>
    <row r="8" spans="1:27" ht="15.75" customHeight="1" x14ac:dyDescent="0.2">
      <c r="A8" s="137"/>
      <c r="B8" s="136"/>
      <c r="C8" s="138"/>
      <c r="D8" s="148" t="s">
        <v>377</v>
      </c>
      <c r="E8" s="149">
        <v>24</v>
      </c>
      <c r="F8" s="437" t="s">
        <v>0</v>
      </c>
      <c r="G8" s="92"/>
      <c r="H8" s="90"/>
      <c r="I8" s="91"/>
      <c r="J8" s="89"/>
      <c r="K8" s="102" t="s">
        <v>548</v>
      </c>
      <c r="L8" s="149"/>
      <c r="M8" s="437" t="s">
        <v>20</v>
      </c>
      <c r="N8" s="51"/>
      <c r="O8" s="51"/>
      <c r="P8" s="51"/>
      <c r="Q8" s="51"/>
      <c r="R8" s="84"/>
      <c r="S8" s="84"/>
      <c r="T8" s="77"/>
      <c r="U8" s="77"/>
      <c r="V8" s="77"/>
      <c r="W8" s="77"/>
      <c r="X8" s="77"/>
      <c r="Y8" s="77"/>
      <c r="Z8" s="520"/>
      <c r="AA8" s="514"/>
    </row>
    <row r="9" spans="1:27" ht="15.75" customHeight="1" x14ac:dyDescent="0.2">
      <c r="A9" s="137"/>
      <c r="B9" s="136"/>
      <c r="C9" s="138"/>
      <c r="D9" s="148" t="s">
        <v>374</v>
      </c>
      <c r="E9" s="604">
        <v>32</v>
      </c>
      <c r="F9" s="150"/>
      <c r="G9" s="92"/>
      <c r="H9" s="90"/>
      <c r="I9" s="91"/>
      <c r="J9" s="89"/>
      <c r="K9" s="102" t="str">
        <f>CHOOSE(MODE, "Secondary Winding DCR", "Secondary Winding #1 DCR")</f>
        <v>Secondary Winding DCR</v>
      </c>
      <c r="L9" s="149"/>
      <c r="M9" s="437" t="s">
        <v>20</v>
      </c>
      <c r="N9" s="51"/>
      <c r="O9" s="51"/>
      <c r="P9" s="51"/>
      <c r="Q9" s="51"/>
      <c r="R9" s="84"/>
      <c r="S9" s="84"/>
      <c r="T9" s="77"/>
      <c r="U9" s="77"/>
      <c r="V9" s="77"/>
      <c r="W9" s="77"/>
      <c r="X9" s="77"/>
      <c r="Y9" s="77"/>
      <c r="Z9" s="520"/>
      <c r="AA9" s="514"/>
    </row>
    <row r="10" spans="1:27" ht="15.75" customHeight="1" x14ac:dyDescent="0.2">
      <c r="A10" s="137"/>
      <c r="B10" s="136"/>
      <c r="C10" s="138"/>
      <c r="D10" s="148" t="str">
        <f>CHOOSE(MODE, "Output Voltage, VOUT ", "Output Voltage, VOUT1")</f>
        <v xml:space="preserve">Output Voltage, VOUT </v>
      </c>
      <c r="E10" s="149">
        <v>15</v>
      </c>
      <c r="F10" s="437" t="s">
        <v>0</v>
      </c>
      <c r="G10" s="92"/>
      <c r="H10" s="90"/>
      <c r="I10" s="91"/>
      <c r="J10" s="89"/>
      <c r="K10" s="102" t="str">
        <f>CHOOSE(MODE, "", "Secondary Winding #2 DCR")</f>
        <v/>
      </c>
      <c r="L10" s="149">
        <v>90</v>
      </c>
      <c r="M10" s="437" t="str">
        <f>CHOOSE(MODE, "", "mΩ")</f>
        <v/>
      </c>
      <c r="N10" s="51"/>
      <c r="O10" s="51"/>
      <c r="P10" s="51"/>
      <c r="Q10" s="51"/>
      <c r="R10" s="84"/>
      <c r="S10" s="84"/>
      <c r="T10" s="77"/>
      <c r="U10" s="77"/>
      <c r="V10" s="77"/>
      <c r="W10" s="77"/>
      <c r="X10" s="77"/>
      <c r="Y10" s="77"/>
      <c r="Z10" s="520"/>
      <c r="AA10" s="514"/>
    </row>
    <row r="11" spans="1:27" ht="15.75" customHeight="1" thickBot="1" x14ac:dyDescent="0.25">
      <c r="A11" s="140"/>
      <c r="B11" s="157"/>
      <c r="C11" s="521"/>
      <c r="D11" s="527" t="str">
        <f>CHOOSE(MODE, "Rated Output Current, IOUT ", "Rated Output Current, IOUT1")</f>
        <v xml:space="preserve">Rated Output Current, IOUT </v>
      </c>
      <c r="E11" s="528">
        <v>0.3</v>
      </c>
      <c r="F11" s="529" t="s">
        <v>1</v>
      </c>
      <c r="G11" s="92"/>
      <c r="H11" s="90"/>
      <c r="I11" s="77"/>
      <c r="J11" s="77"/>
      <c r="K11" s="102" t="s">
        <v>695</v>
      </c>
      <c r="L11" s="149">
        <v>2100</v>
      </c>
      <c r="M11" s="437" t="s">
        <v>694</v>
      </c>
      <c r="N11" s="51"/>
      <c r="O11" s="51"/>
      <c r="P11" s="51"/>
      <c r="Q11" s="51"/>
      <c r="R11" s="84"/>
      <c r="S11" s="84"/>
      <c r="T11" s="77"/>
      <c r="U11" s="77"/>
      <c r="V11" s="77"/>
      <c r="W11" s="77"/>
      <c r="X11" s="77"/>
      <c r="Y11" s="77"/>
      <c r="Z11" s="520"/>
      <c r="AA11" s="514"/>
    </row>
    <row r="12" spans="1:27" ht="15.75" customHeight="1" x14ac:dyDescent="0.2">
      <c r="A12" s="77"/>
      <c r="B12" s="77"/>
      <c r="C12" s="77"/>
      <c r="D12" s="148" t="str">
        <f>CHOOSE(MODE, "", "Output Voltage, VOUT2")</f>
        <v/>
      </c>
      <c r="E12" s="149">
        <v>-8</v>
      </c>
      <c r="F12" s="437" t="str">
        <f>CHOOSE(MODE, "", "V", "V")</f>
        <v/>
      </c>
      <c r="G12" s="92"/>
      <c r="H12" s="90"/>
      <c r="I12" s="91"/>
      <c r="J12" s="89"/>
      <c r="K12" s="88" t="str">
        <f>IF(MODE=1, "Transformer Turns Ratio, Pri : Sec", "Turns Ratio, PRI : SEC1")</f>
        <v>Transformer Turns Ratio, Pri : Sec</v>
      </c>
      <c r="L12" s="445"/>
      <c r="M12" s="466"/>
      <c r="N12" s="51"/>
      <c r="O12" s="51"/>
      <c r="P12" s="51"/>
      <c r="Q12" s="51"/>
      <c r="R12" s="84"/>
      <c r="S12" s="84"/>
      <c r="T12" s="77"/>
      <c r="U12" s="77"/>
      <c r="V12" s="77"/>
      <c r="W12" s="77"/>
      <c r="X12" s="77"/>
      <c r="Y12" s="77"/>
      <c r="Z12" s="520"/>
      <c r="AA12" s="514"/>
    </row>
    <row r="13" spans="1:27" ht="15.75" customHeight="1" thickBot="1" x14ac:dyDescent="0.25">
      <c r="A13" s="140"/>
      <c r="B13" s="157"/>
      <c r="C13" s="521"/>
      <c r="D13" s="527" t="str">
        <f>CHOOSE(MODE, "", "Rated Output Current, IOUT2")</f>
        <v/>
      </c>
      <c r="E13" s="528">
        <v>0.3</v>
      </c>
      <c r="F13" s="529" t="str">
        <f>CHOOSE(MODE, "", "A", "A")</f>
        <v/>
      </c>
      <c r="G13" s="92"/>
      <c r="H13" s="137"/>
      <c r="I13" s="136"/>
      <c r="J13" s="138"/>
      <c r="K13" s="89" t="str">
        <f>CHOOSE(MODE, "Diode Max Rev Voltage (Spike Not Included)", "Turns Ratio, SEC1 : SEC2")</f>
        <v>Diode Max Rev Voltage (Spike Not Included)</v>
      </c>
      <c r="L13" s="655">
        <f>CHOOSE(MODE, ROUND(VRRM_DIODE,0), ROUND(Nsec1sec2,2))</f>
        <v>39</v>
      </c>
      <c r="M13" s="466" t="str">
        <f>CHOOSE(MODE, "V", "")</f>
        <v>V</v>
      </c>
      <c r="N13" s="51"/>
      <c r="O13" s="51"/>
      <c r="P13" s="51"/>
      <c r="Q13" s="51"/>
      <c r="R13" s="84"/>
      <c r="S13" s="84"/>
      <c r="T13" s="77"/>
      <c r="U13" s="77"/>
      <c r="V13" s="77"/>
      <c r="W13" s="77"/>
      <c r="X13" s="77"/>
      <c r="Y13" s="77"/>
      <c r="Z13" s="520"/>
      <c r="AA13" s="514"/>
    </row>
    <row r="14" spans="1:27" ht="15.75" customHeight="1" x14ac:dyDescent="0.2">
      <c r="A14" s="434"/>
      <c r="B14" s="77"/>
      <c r="C14" s="77"/>
      <c r="D14" s="77"/>
      <c r="E14" s="77"/>
      <c r="F14" s="530"/>
      <c r="G14" s="93"/>
      <c r="H14" s="137"/>
      <c r="I14" s="136"/>
      <c r="J14" s="624"/>
      <c r="K14" s="138" t="s">
        <v>689</v>
      </c>
      <c r="L14" s="659">
        <f>Don_Vinmin*100</f>
        <v>68.680089485458609</v>
      </c>
      <c r="M14" s="660" t="s">
        <v>690</v>
      </c>
      <c r="N14" s="51"/>
      <c r="O14" s="51"/>
      <c r="P14" s="51"/>
      <c r="Q14" s="51"/>
      <c r="R14" s="84"/>
      <c r="S14" s="84"/>
      <c r="T14" s="77"/>
      <c r="U14" s="77"/>
      <c r="V14" s="77"/>
      <c r="W14" s="77"/>
      <c r="X14" s="77"/>
      <c r="Y14" s="77"/>
      <c r="Z14" s="520"/>
      <c r="AA14" s="514"/>
    </row>
    <row r="15" spans="1:27" ht="19.5" customHeight="1" thickBot="1" x14ac:dyDescent="0.35">
      <c r="A15" s="108" t="s">
        <v>299</v>
      </c>
      <c r="B15" s="94"/>
      <c r="C15" s="95"/>
      <c r="D15" s="95"/>
      <c r="E15" s="96"/>
      <c r="F15" s="95"/>
      <c r="G15" s="92"/>
      <c r="H15" s="625"/>
      <c r="I15" s="518"/>
      <c r="J15" s="518"/>
      <c r="K15" s="521" t="s">
        <v>630</v>
      </c>
      <c r="L15" s="662">
        <f>'Variable Mgmt'!B38</f>
        <v>3.1305337078651685</v>
      </c>
      <c r="M15" s="661" t="s">
        <v>45</v>
      </c>
      <c r="N15" s="51"/>
      <c r="O15" s="51"/>
      <c r="P15" s="51"/>
      <c r="Q15" s="51"/>
      <c r="R15" s="84"/>
      <c r="S15" s="84"/>
      <c r="T15" s="77"/>
      <c r="U15" s="77"/>
      <c r="V15" s="77"/>
      <c r="W15" s="77"/>
      <c r="X15" s="77"/>
      <c r="Y15" s="77"/>
      <c r="Z15" s="520"/>
      <c r="AA15" s="514"/>
    </row>
    <row r="16" spans="1:27" ht="15.75" customHeight="1" x14ac:dyDescent="0.2">
      <c r="A16" s="394"/>
      <c r="B16" s="597"/>
      <c r="C16" s="598"/>
      <c r="D16" s="214" t="s">
        <v>318</v>
      </c>
      <c r="E16" s="634">
        <f>'Variable Mgmt'!B119</f>
        <v>2.7670722285816884</v>
      </c>
      <c r="F16" s="438" t="s">
        <v>97</v>
      </c>
      <c r="G16" s="92"/>
      <c r="H16" s="91"/>
      <c r="I16" s="51"/>
      <c r="J16" s="51"/>
      <c r="K16" s="89"/>
      <c r="L16" s="51"/>
      <c r="M16" s="91"/>
      <c r="N16" s="51"/>
      <c r="O16" s="51"/>
      <c r="P16" s="51"/>
      <c r="Q16" s="51"/>
      <c r="R16" s="84"/>
      <c r="S16" s="84"/>
      <c r="T16" s="77"/>
      <c r="U16" s="77"/>
      <c r="V16" s="77"/>
      <c r="W16" s="77"/>
      <c r="X16" s="77"/>
      <c r="Y16" s="77"/>
      <c r="Z16" s="520"/>
      <c r="AA16" s="514"/>
    </row>
    <row r="17" spans="1:27" ht="15.75" customHeight="1" x14ac:dyDescent="0.25">
      <c r="A17" s="99"/>
      <c r="B17" s="91"/>
      <c r="C17" s="98"/>
      <c r="D17" s="102" t="s">
        <v>141</v>
      </c>
      <c r="E17" s="100">
        <v>47</v>
      </c>
      <c r="F17" s="439" t="s">
        <v>97</v>
      </c>
      <c r="G17" s="92"/>
      <c r="H17" s="91"/>
      <c r="I17" s="51"/>
      <c r="J17" s="51"/>
      <c r="K17" s="51"/>
      <c r="L17" s="51"/>
      <c r="M17" s="51"/>
      <c r="N17" s="51"/>
      <c r="O17" s="51"/>
      <c r="P17" s="51"/>
      <c r="Q17" s="51"/>
      <c r="R17" s="84"/>
      <c r="S17" s="84"/>
      <c r="T17" s="77"/>
      <c r="U17" s="77"/>
      <c r="V17" s="77"/>
      <c r="W17" s="77"/>
      <c r="X17" s="77"/>
      <c r="Y17" s="77"/>
      <c r="Z17" s="520"/>
      <c r="AA17" s="514"/>
    </row>
    <row r="18" spans="1:27" ht="15.75" customHeight="1" x14ac:dyDescent="0.2">
      <c r="A18" s="99"/>
      <c r="B18" s="91"/>
      <c r="C18" s="154"/>
      <c r="D18" s="148" t="s">
        <v>104</v>
      </c>
      <c r="E18" s="153">
        <v>5</v>
      </c>
      <c r="F18" s="440" t="s">
        <v>20</v>
      </c>
      <c r="G18" s="92"/>
      <c r="H18" s="91"/>
      <c r="I18" s="51"/>
      <c r="J18" s="51"/>
      <c r="K18" s="51"/>
      <c r="L18" s="51"/>
      <c r="M18" s="51"/>
      <c r="N18" s="51"/>
      <c r="O18" s="51"/>
      <c r="P18" s="51"/>
      <c r="Q18" s="51"/>
      <c r="R18" s="84"/>
      <c r="S18" s="84"/>
      <c r="T18" s="77"/>
      <c r="U18" s="77"/>
      <c r="V18" s="77"/>
      <c r="W18" s="77"/>
      <c r="X18" s="77"/>
      <c r="Y18" s="77"/>
      <c r="Z18" s="520"/>
      <c r="AA18" s="514"/>
    </row>
    <row r="19" spans="1:27" ht="15.75" customHeight="1" thickBot="1" x14ac:dyDescent="0.35">
      <c r="A19" s="103"/>
      <c r="B19" s="104"/>
      <c r="C19" s="110"/>
      <c r="D19" s="216" t="s">
        <v>512</v>
      </c>
      <c r="E19" s="217">
        <f>Vinripple2*1000</f>
        <v>42.574326322319422</v>
      </c>
      <c r="F19" s="107" t="s">
        <v>103</v>
      </c>
      <c r="G19" s="92"/>
      <c r="H19" s="91"/>
      <c r="I19" s="51"/>
      <c r="J19" s="51"/>
      <c r="K19" s="51"/>
      <c r="L19" s="51"/>
      <c r="M19" s="51"/>
      <c r="N19" s="51"/>
      <c r="O19" s="51"/>
      <c r="P19" s="51"/>
      <c r="Q19" s="51"/>
      <c r="R19" s="84"/>
      <c r="S19" s="84"/>
      <c r="T19" s="77"/>
      <c r="U19" s="77"/>
      <c r="V19" s="77"/>
      <c r="W19" s="77"/>
      <c r="X19" s="77"/>
      <c r="Y19" s="77"/>
      <c r="Z19" s="520"/>
      <c r="AA19" s="514"/>
    </row>
    <row r="20" spans="1:27" ht="15.75" customHeight="1" thickBot="1" x14ac:dyDescent="0.25">
      <c r="A20" s="431"/>
      <c r="B20" s="432"/>
      <c r="C20" s="433"/>
      <c r="D20" s="433" t="str">
        <f>CHOOSE(MODE, "Minimum Output Capacitance", "Minimum Output Capacitance, Output #1")</f>
        <v>Minimum Output Capacitance</v>
      </c>
      <c r="E20" s="653">
        <f>'Variable Mgmt'!B94</f>
        <v>9.6666666666666679</v>
      </c>
      <c r="F20" s="438" t="s">
        <v>97</v>
      </c>
      <c r="G20" s="608"/>
      <c r="H20" s="598"/>
      <c r="I20" s="607"/>
      <c r="J20" s="515"/>
      <c r="K20" s="433" t="str">
        <f>CHOOSE(MODE, "", "Minimum Output Capacitance, Output #2")</f>
        <v/>
      </c>
      <c r="L20" s="653">
        <f>'Variable Mgmt'!B104</f>
        <v>18.125</v>
      </c>
      <c r="M20" s="438" t="s">
        <v>97</v>
      </c>
      <c r="N20" s="51"/>
      <c r="O20" s="51"/>
      <c r="P20" s="51"/>
      <c r="Q20" s="51"/>
      <c r="R20" s="84"/>
      <c r="S20" s="84"/>
      <c r="T20" s="77"/>
      <c r="U20" s="77"/>
      <c r="V20" s="77"/>
      <c r="W20" s="77"/>
      <c r="X20" s="77"/>
      <c r="Y20" s="77"/>
      <c r="Z20" s="520"/>
      <c r="AA20" s="514"/>
    </row>
    <row r="21" spans="1:27" ht="15.75" customHeight="1" x14ac:dyDescent="0.2">
      <c r="A21" s="90"/>
      <c r="B21" s="91"/>
      <c r="C21" s="138"/>
      <c r="D21" s="155" t="s">
        <v>140</v>
      </c>
      <c r="E21" s="149">
        <v>47</v>
      </c>
      <c r="F21" s="437" t="s">
        <v>97</v>
      </c>
      <c r="G21" s="609"/>
      <c r="H21" s="91"/>
      <c r="I21" s="51"/>
      <c r="J21" s="77"/>
      <c r="K21" s="155" t="s">
        <v>556</v>
      </c>
      <c r="L21" s="149">
        <v>47</v>
      </c>
      <c r="M21" s="437" t="s">
        <v>97</v>
      </c>
      <c r="N21" s="51"/>
      <c r="O21" s="51"/>
      <c r="P21" s="51"/>
      <c r="Q21" s="51"/>
      <c r="R21" s="84"/>
      <c r="S21" s="84"/>
      <c r="T21" s="77"/>
      <c r="U21" s="77"/>
      <c r="V21" s="77"/>
      <c r="W21" s="77"/>
      <c r="X21" s="77"/>
      <c r="Y21" s="77"/>
      <c r="Z21" s="520"/>
      <c r="AA21" s="514"/>
    </row>
    <row r="22" spans="1:27" ht="16.5" customHeight="1" thickBot="1" x14ac:dyDescent="0.25">
      <c r="A22" s="90"/>
      <c r="B22" s="91"/>
      <c r="C22" s="154"/>
      <c r="D22" s="148" t="s">
        <v>557</v>
      </c>
      <c r="E22" s="153">
        <v>3</v>
      </c>
      <c r="F22" s="440" t="s">
        <v>20</v>
      </c>
      <c r="G22" s="610"/>
      <c r="H22" s="91"/>
      <c r="I22" s="51"/>
      <c r="J22" s="77"/>
      <c r="K22" s="148" t="s">
        <v>557</v>
      </c>
      <c r="L22" s="153">
        <v>3</v>
      </c>
      <c r="M22" s="440" t="s">
        <v>20</v>
      </c>
      <c r="N22" s="51"/>
      <c r="O22" s="51"/>
      <c r="P22" s="51"/>
      <c r="Q22" s="51"/>
      <c r="R22" s="84"/>
      <c r="S22" s="84"/>
      <c r="T22" s="77"/>
      <c r="U22" s="77"/>
      <c r="V22" s="77"/>
      <c r="W22" s="77"/>
      <c r="X22" s="77"/>
      <c r="Y22" s="77"/>
      <c r="Z22" s="520"/>
      <c r="AA22" s="514"/>
    </row>
    <row r="23" spans="1:27" ht="15.75" customHeight="1" thickBot="1" x14ac:dyDescent="0.35">
      <c r="A23" s="103"/>
      <c r="B23" s="106"/>
      <c r="C23" s="106"/>
      <c r="D23" s="216" t="str">
        <f>CHOOSE(MODE, "Resulting Output Voltage Ripple", "Resulting Output Voltage Ripple, Output #1")</f>
        <v>Resulting Output Voltage Ripple</v>
      </c>
      <c r="E23" s="217">
        <f>Vripple1_actual</f>
        <v>31.751063829787231</v>
      </c>
      <c r="F23" s="107" t="s">
        <v>103</v>
      </c>
      <c r="G23" s="608"/>
      <c r="H23" s="106"/>
      <c r="I23" s="518"/>
      <c r="J23" s="517"/>
      <c r="K23" s="216" t="str">
        <f>CHOOSE(MODE, "", "Resulting Output Voltage Ripple, Output #2")</f>
        <v/>
      </c>
      <c r="L23" s="217">
        <f>Vripple2_actual</f>
        <v>69.620899670996607</v>
      </c>
      <c r="M23" s="107" t="s">
        <v>103</v>
      </c>
      <c r="N23" s="51"/>
      <c r="O23" s="51"/>
      <c r="P23" s="51"/>
      <c r="Q23" s="51"/>
      <c r="R23" s="84"/>
      <c r="S23" s="84"/>
      <c r="T23" s="77"/>
      <c r="U23" s="77"/>
      <c r="V23" s="77"/>
      <c r="W23" s="77"/>
      <c r="X23" s="77"/>
      <c r="Y23" s="77"/>
      <c r="Z23" s="520"/>
      <c r="AA23" s="514"/>
    </row>
    <row r="24" spans="1:27" ht="13.5" customHeight="1" x14ac:dyDescent="0.2">
      <c r="A24" s="434"/>
      <c r="B24" s="77"/>
      <c r="C24" s="77"/>
      <c r="D24" s="77"/>
      <c r="E24" s="77"/>
      <c r="F24" s="77"/>
      <c r="G24" s="77"/>
      <c r="H24" s="77"/>
      <c r="I24" s="77"/>
      <c r="J24" s="77"/>
      <c r="K24" s="77"/>
      <c r="L24" s="77"/>
      <c r="M24" s="77"/>
      <c r="N24" s="51"/>
      <c r="O24" s="51"/>
      <c r="P24" s="51"/>
      <c r="Q24" s="51"/>
      <c r="R24" s="84"/>
      <c r="S24" s="84"/>
      <c r="T24" s="77"/>
      <c r="U24" s="77"/>
      <c r="V24" s="77"/>
      <c r="W24" s="77"/>
      <c r="X24" s="77"/>
      <c r="Y24" s="77"/>
      <c r="Z24" s="520"/>
      <c r="AA24" s="514"/>
    </row>
    <row r="25" spans="1:27" ht="19.5" customHeight="1" thickBot="1" x14ac:dyDescent="0.35">
      <c r="A25" s="108" t="s">
        <v>395</v>
      </c>
      <c r="B25" s="97"/>
      <c r="C25" s="91"/>
      <c r="D25" s="89"/>
      <c r="E25" s="91"/>
      <c r="F25" s="91"/>
      <c r="G25" s="91"/>
      <c r="H25" s="91"/>
      <c r="I25" s="51"/>
      <c r="J25" s="51"/>
      <c r="K25" s="51"/>
      <c r="L25" s="51"/>
      <c r="M25" s="51"/>
      <c r="N25" s="51"/>
      <c r="O25" s="51"/>
      <c r="P25" s="51"/>
      <c r="Q25" s="51"/>
      <c r="R25" s="84"/>
      <c r="S25" s="84"/>
      <c r="T25" s="77"/>
      <c r="U25" s="77"/>
      <c r="V25" s="77"/>
      <c r="W25" s="77"/>
      <c r="X25" s="77"/>
      <c r="Y25" s="77"/>
      <c r="Z25" s="520"/>
      <c r="AA25" s="514"/>
    </row>
    <row r="26" spans="1:27" ht="15.75" customHeight="1" x14ac:dyDescent="0.2">
      <c r="A26" s="143"/>
      <c r="B26" s="144"/>
      <c r="C26" s="214"/>
      <c r="D26" s="214" t="s">
        <v>380</v>
      </c>
      <c r="E26" s="601">
        <f>Rfb_recommend</f>
        <v>152.5</v>
      </c>
      <c r="F26" s="532" t="s">
        <v>21</v>
      </c>
      <c r="G26" s="91"/>
      <c r="H26" s="91"/>
      <c r="I26" s="51"/>
      <c r="J26" s="51"/>
      <c r="K26" s="51"/>
      <c r="L26" s="51"/>
      <c r="M26" s="51"/>
      <c r="N26" s="51"/>
      <c r="O26" s="51"/>
      <c r="P26" s="51"/>
      <c r="Q26" s="51"/>
      <c r="R26" s="84"/>
      <c r="S26" s="84"/>
      <c r="T26" s="77"/>
      <c r="U26" s="77"/>
      <c r="V26" s="77"/>
      <c r="W26" s="77"/>
      <c r="X26" s="77"/>
      <c r="Y26" s="77"/>
      <c r="Z26" s="520"/>
      <c r="AA26" s="514"/>
    </row>
    <row r="27" spans="1:27" ht="15.75" customHeight="1" thickBot="1" x14ac:dyDescent="0.25">
      <c r="A27" s="137"/>
      <c r="B27" s="136"/>
      <c r="C27" s="138"/>
      <c r="D27" s="155" t="s">
        <v>378</v>
      </c>
      <c r="E27" s="156">
        <v>457.5</v>
      </c>
      <c r="F27" s="150" t="str">
        <f>IF(Vout=Vref,"","kΩ")</f>
        <v>kΩ</v>
      </c>
      <c r="G27" s="91"/>
      <c r="H27" s="91"/>
      <c r="I27" s="51"/>
      <c r="J27" s="51"/>
      <c r="K27" s="51"/>
      <c r="L27" s="51"/>
      <c r="M27" s="51"/>
      <c r="N27" s="51"/>
      <c r="O27" s="51"/>
      <c r="P27" s="51"/>
      <c r="Q27" s="51"/>
      <c r="R27" s="84"/>
      <c r="S27" s="84"/>
      <c r="T27" s="77"/>
      <c r="U27" s="77"/>
      <c r="V27" s="77"/>
      <c r="W27" s="77"/>
      <c r="X27" s="77"/>
      <c r="Y27" s="77"/>
      <c r="Z27" s="520"/>
      <c r="AA27" s="514"/>
    </row>
    <row r="28" spans="1:27" ht="14.1" customHeight="1" x14ac:dyDescent="0.2">
      <c r="A28" s="398"/>
      <c r="B28" s="399"/>
      <c r="C28" s="400"/>
      <c r="D28" s="401" t="s">
        <v>293</v>
      </c>
      <c r="E28" s="402"/>
      <c r="F28" s="403"/>
      <c r="G28" s="92"/>
      <c r="H28" s="91"/>
      <c r="I28" s="51"/>
      <c r="J28" s="51"/>
      <c r="K28" s="51"/>
      <c r="L28" s="51"/>
      <c r="M28" s="51"/>
      <c r="N28" s="51"/>
      <c r="O28" s="51"/>
      <c r="P28" s="51"/>
      <c r="Q28" s="51"/>
      <c r="R28" s="84"/>
      <c r="S28" s="84"/>
      <c r="T28" s="77"/>
      <c r="U28" s="77"/>
      <c r="V28" s="77"/>
      <c r="W28" s="77"/>
      <c r="X28" s="77"/>
      <c r="Y28" s="77"/>
      <c r="Z28" s="520"/>
      <c r="AA28" s="514"/>
    </row>
    <row r="29" spans="1:27" ht="16.5" customHeight="1" x14ac:dyDescent="0.2">
      <c r="A29" s="137"/>
      <c r="B29" s="136"/>
      <c r="C29" s="136"/>
      <c r="D29" s="152" t="str">
        <f>CHOOSE(MODE_SS,"Soft-Start Time","*Leave SS Pin Open or Supply by Ext. Bias")</f>
        <v>*Leave SS Pin Open or Supply by Ext. Bias</v>
      </c>
      <c r="E29" s="153">
        <v>5</v>
      </c>
      <c r="F29" s="150" t="s">
        <v>63</v>
      </c>
      <c r="G29" s="92"/>
      <c r="H29" s="91"/>
      <c r="I29" s="51"/>
      <c r="J29" s="51"/>
      <c r="K29" s="51"/>
      <c r="L29" s="51"/>
      <c r="M29" s="51"/>
      <c r="N29" s="51"/>
      <c r="O29" s="51"/>
      <c r="P29" s="51"/>
      <c r="Q29" s="51"/>
      <c r="R29" s="84"/>
      <c r="S29" s="84"/>
      <c r="T29" s="77"/>
      <c r="U29" s="77"/>
      <c r="V29" s="77"/>
      <c r="W29" s="77"/>
      <c r="X29" s="77"/>
      <c r="Y29" s="77"/>
      <c r="Z29" s="520"/>
      <c r="AA29" s="514"/>
    </row>
    <row r="30" spans="1:27" ht="16.5" customHeight="1" thickBot="1" x14ac:dyDescent="0.35">
      <c r="A30" s="140"/>
      <c r="B30" s="141"/>
      <c r="C30" s="141"/>
      <c r="D30" s="381" t="s">
        <v>142</v>
      </c>
      <c r="E30" s="397">
        <f>IF(Tss&gt;0.0001,Css_u*1000000000,"N/A")</f>
        <v>22</v>
      </c>
      <c r="F30" s="142" t="s">
        <v>56</v>
      </c>
      <c r="G30" s="92"/>
      <c r="H30" s="91"/>
      <c r="I30" s="51"/>
      <c r="J30" s="51"/>
      <c r="K30" s="51"/>
      <c r="L30" s="51"/>
      <c r="M30" s="51"/>
      <c r="N30" s="51"/>
      <c r="O30" s="51"/>
      <c r="P30" s="51"/>
      <c r="Q30" s="51"/>
      <c r="R30" s="84"/>
      <c r="S30" s="84"/>
      <c r="T30" s="77"/>
      <c r="U30" s="77"/>
      <c r="V30" s="77"/>
      <c r="W30" s="77"/>
      <c r="X30" s="77"/>
      <c r="Y30" s="77"/>
      <c r="Z30" s="520"/>
      <c r="AA30" s="514"/>
    </row>
    <row r="31" spans="1:27" ht="15.75" customHeight="1" x14ac:dyDescent="0.2">
      <c r="A31" s="137"/>
      <c r="B31" s="136"/>
      <c r="C31" s="136"/>
      <c r="D31" s="88" t="s">
        <v>393</v>
      </c>
      <c r="E31" s="151"/>
      <c r="F31" s="139"/>
      <c r="G31" s="91"/>
      <c r="H31" s="91"/>
      <c r="I31" s="51"/>
      <c r="J31" s="51"/>
      <c r="K31" s="51"/>
      <c r="L31" s="51"/>
      <c r="M31" s="51"/>
      <c r="N31" s="51"/>
      <c r="O31" s="51"/>
      <c r="P31" s="51"/>
      <c r="Q31" s="51"/>
      <c r="R31" s="84"/>
      <c r="S31" s="84"/>
      <c r="T31" s="77"/>
      <c r="U31" s="77"/>
      <c r="V31" s="77"/>
      <c r="W31" s="77"/>
      <c r="X31" s="77"/>
      <c r="Y31" s="77"/>
      <c r="Z31" s="520"/>
      <c r="AA31" s="514"/>
    </row>
    <row r="32" spans="1:27" ht="15.75" customHeight="1" x14ac:dyDescent="0.2">
      <c r="A32" s="137"/>
      <c r="B32" s="136"/>
      <c r="C32" s="136"/>
      <c r="D32" s="88" t="str">
        <f>CHOOSE(TC,"Diode Voltage Drop Thermal Coefficient","*Leave TC Pin Open")</f>
        <v>*Leave TC Pin Open</v>
      </c>
      <c r="E32" s="605">
        <v>-1.2</v>
      </c>
      <c r="F32" s="139" t="s">
        <v>392</v>
      </c>
      <c r="G32" s="91"/>
      <c r="H32" s="91"/>
      <c r="I32" s="51"/>
      <c r="J32" s="51"/>
      <c r="K32" s="51"/>
      <c r="L32" s="51"/>
      <c r="M32" s="51"/>
      <c r="N32" s="51"/>
      <c r="O32" s="51"/>
      <c r="P32" s="51"/>
      <c r="Q32" s="51"/>
      <c r="R32" s="84"/>
      <c r="S32" s="84"/>
      <c r="T32" s="77"/>
      <c r="U32" s="77"/>
      <c r="V32" s="77"/>
      <c r="W32" s="77"/>
      <c r="X32" s="77"/>
      <c r="Y32" s="77"/>
      <c r="Z32" s="520"/>
      <c r="AA32" s="514"/>
    </row>
    <row r="33" spans="1:35" ht="15.75" customHeight="1" thickBot="1" x14ac:dyDescent="0.25">
      <c r="A33" s="140"/>
      <c r="B33" s="157"/>
      <c r="C33" s="157"/>
      <c r="D33" s="521" t="s">
        <v>394</v>
      </c>
      <c r="E33" s="542">
        <f>RTC</f>
        <v>1150</v>
      </c>
      <c r="F33" s="543" t="s">
        <v>21</v>
      </c>
      <c r="G33" s="91"/>
      <c r="H33" s="91"/>
      <c r="I33" s="51"/>
      <c r="J33" s="51"/>
      <c r="K33" s="75"/>
      <c r="L33" s="51"/>
      <c r="M33" s="51"/>
      <c r="N33" s="51"/>
      <c r="O33" s="51"/>
      <c r="P33" s="51"/>
      <c r="Q33" s="51"/>
      <c r="R33" s="84"/>
      <c r="S33" s="84"/>
      <c r="T33" s="77"/>
      <c r="U33" s="77"/>
      <c r="V33" s="77"/>
      <c r="W33" s="77"/>
      <c r="X33" s="77"/>
      <c r="Y33" s="77"/>
      <c r="Z33" s="520"/>
      <c r="AA33" s="514"/>
    </row>
    <row r="34" spans="1:35" ht="16.5" customHeight="1" x14ac:dyDescent="0.2">
      <c r="A34" s="137"/>
      <c r="B34" s="136"/>
      <c r="C34" s="136"/>
      <c r="D34" s="155" t="s">
        <v>307</v>
      </c>
      <c r="E34" s="151"/>
      <c r="F34" s="139"/>
      <c r="G34" s="91"/>
      <c r="H34" s="91"/>
      <c r="I34" s="51"/>
      <c r="J34" s="51"/>
      <c r="K34" s="51"/>
      <c r="L34" s="51"/>
      <c r="M34" s="51"/>
      <c r="N34" s="51"/>
      <c r="O34" s="51"/>
      <c r="P34" s="51"/>
      <c r="Q34" s="51"/>
      <c r="R34" s="84"/>
      <c r="S34" s="84"/>
      <c r="T34" s="77"/>
      <c r="U34" s="77"/>
      <c r="V34" s="77"/>
      <c r="W34" s="77"/>
      <c r="X34" s="77"/>
      <c r="Y34" s="77"/>
      <c r="Z34" s="520"/>
      <c r="AA34" s="514"/>
    </row>
    <row r="35" spans="1:35" ht="15.75" customHeight="1" x14ac:dyDescent="0.2">
      <c r="A35" s="137"/>
      <c r="B35" s="136"/>
      <c r="C35" s="154"/>
      <c r="D35" s="155" t="str">
        <f>CHOOSE(MODE_UVLO, "Input UVLO Turn-On Threshold", "*Connect EN pin to VIN or Logic HIGH")</f>
        <v>Input UVLO Turn-On Threshold</v>
      </c>
      <c r="E35" s="156">
        <v>6.5</v>
      </c>
      <c r="F35" s="150" t="s">
        <v>0</v>
      </c>
      <c r="G35" s="91"/>
      <c r="H35" s="91"/>
      <c r="I35" s="84"/>
      <c r="J35" s="84"/>
      <c r="K35" s="84"/>
      <c r="L35" s="218"/>
      <c r="M35" s="51"/>
      <c r="N35" s="51"/>
      <c r="O35" s="51"/>
      <c r="P35" s="51"/>
      <c r="Q35" s="51"/>
      <c r="R35" s="84"/>
      <c r="S35" s="84"/>
      <c r="T35" s="77"/>
      <c r="U35" s="77"/>
      <c r="V35" s="77"/>
      <c r="W35" s="77"/>
      <c r="X35" s="77"/>
      <c r="Y35" s="77"/>
      <c r="Z35" s="520"/>
      <c r="AA35" s="514"/>
    </row>
    <row r="36" spans="1:35" ht="15.75" customHeight="1" thickBot="1" x14ac:dyDescent="0.25">
      <c r="A36" s="140"/>
      <c r="B36" s="157"/>
      <c r="C36" s="157"/>
      <c r="D36" s="442" t="str">
        <f>CHOOSE(MODE_UVLO, "Input UVLO Turn-Off Threshold", "")</f>
        <v>Input UVLO Turn-Off Threshold</v>
      </c>
      <c r="E36" s="443">
        <v>6</v>
      </c>
      <c r="F36" s="444" t="s">
        <v>0</v>
      </c>
      <c r="G36" s="91"/>
      <c r="H36" s="138"/>
      <c r="I36" s="219"/>
      <c r="J36" s="221"/>
      <c r="K36" s="84"/>
      <c r="L36" s="84"/>
      <c r="M36" s="51"/>
      <c r="N36" s="51"/>
      <c r="O36" s="51"/>
      <c r="P36" s="51"/>
      <c r="Q36" s="51"/>
      <c r="R36" s="84"/>
      <c r="S36" s="84"/>
      <c r="T36" s="77"/>
      <c r="U36" s="77"/>
      <c r="V36" s="77"/>
      <c r="W36" s="77"/>
      <c r="X36" s="77"/>
      <c r="Y36" s="77"/>
      <c r="Z36" s="520"/>
      <c r="AA36" s="514"/>
    </row>
    <row r="37" spans="1:35" ht="15.75" customHeight="1" x14ac:dyDescent="0.2">
      <c r="A37" s="467"/>
      <c r="B37" s="136"/>
      <c r="C37" s="154"/>
      <c r="D37" s="138" t="s">
        <v>384</v>
      </c>
      <c r="E37" s="592">
        <f>'Variable Mgmt'!F149</f>
        <v>56.2</v>
      </c>
      <c r="F37" s="139" t="s">
        <v>21</v>
      </c>
      <c r="G37" s="91"/>
      <c r="H37" s="223"/>
      <c r="I37" s="152"/>
      <c r="J37" s="603"/>
      <c r="K37" s="222"/>
      <c r="L37" s="84"/>
      <c r="M37" s="51"/>
      <c r="N37" s="51"/>
      <c r="O37" s="51"/>
      <c r="P37" s="51"/>
      <c r="Q37" s="51"/>
      <c r="R37" s="84"/>
      <c r="S37" s="84"/>
      <c r="T37" s="77"/>
      <c r="U37" s="77"/>
      <c r="V37" s="77"/>
      <c r="W37" s="77"/>
      <c r="X37" s="77"/>
      <c r="Y37" s="77"/>
      <c r="Z37" s="520"/>
      <c r="AA37" s="514"/>
    </row>
    <row r="38" spans="1:35" ht="15.75" customHeight="1" thickBot="1" x14ac:dyDescent="0.25">
      <c r="A38" s="140"/>
      <c r="B38" s="157"/>
      <c r="C38" s="157"/>
      <c r="D38" s="521" t="s">
        <v>295</v>
      </c>
      <c r="E38" s="522">
        <f>'Variable Mgmt'!F150</f>
        <v>16.900000000000002</v>
      </c>
      <c r="F38" s="142" t="s">
        <v>21</v>
      </c>
      <c r="G38" s="91"/>
      <c r="H38" s="91"/>
      <c r="I38" s="84"/>
      <c r="J38" s="220"/>
      <c r="K38" s="84"/>
      <c r="L38" s="84"/>
      <c r="M38" s="51"/>
      <c r="N38" s="51"/>
      <c r="O38" s="51"/>
      <c r="P38" s="51"/>
      <c r="Q38" s="51" t="s">
        <v>78</v>
      </c>
      <c r="R38" s="84"/>
      <c r="S38" s="84"/>
      <c r="T38" s="77"/>
      <c r="U38" s="77"/>
      <c r="V38" s="77"/>
      <c r="W38" s="77"/>
      <c r="X38" s="77"/>
      <c r="Y38" s="77"/>
      <c r="Z38" s="520"/>
      <c r="AA38" s="514"/>
    </row>
    <row r="39" spans="1:35" ht="13.5" customHeight="1" x14ac:dyDescent="0.2">
      <c r="A39" s="467"/>
      <c r="B39" s="523"/>
      <c r="C39" s="523"/>
      <c r="D39" s="524"/>
      <c r="E39" s="525"/>
      <c r="F39" s="526"/>
      <c r="G39" s="91"/>
      <c r="H39" s="91"/>
      <c r="I39" s="51"/>
      <c r="J39" s="76"/>
      <c r="K39" s="51"/>
      <c r="L39" s="51"/>
      <c r="M39" s="51"/>
      <c r="N39" s="51"/>
      <c r="O39" s="51"/>
      <c r="P39" s="51"/>
      <c r="Q39" s="51"/>
      <c r="R39" s="84"/>
      <c r="S39" s="84"/>
      <c r="T39" s="77"/>
      <c r="U39" s="77"/>
      <c r="V39" s="77"/>
      <c r="W39" s="77"/>
      <c r="X39" s="77"/>
      <c r="Y39" s="77"/>
      <c r="Z39" s="520"/>
      <c r="AA39" s="514"/>
    </row>
    <row r="40" spans="1:35" ht="19.5" customHeight="1" thickBot="1" x14ac:dyDescent="0.25">
      <c r="A40" s="468" t="s">
        <v>511</v>
      </c>
      <c r="B40" s="91"/>
      <c r="C40" s="91"/>
      <c r="D40" s="89"/>
      <c r="E40" s="101"/>
      <c r="F40" s="91"/>
      <c r="G40" s="91"/>
      <c r="H40" s="91"/>
      <c r="I40" s="51"/>
      <c r="J40" s="76"/>
      <c r="K40" s="51"/>
      <c r="L40" s="51"/>
      <c r="M40" s="51"/>
      <c r="N40" s="51"/>
      <c r="O40" s="51"/>
      <c r="P40" s="51"/>
      <c r="Q40" s="51"/>
      <c r="R40" s="84"/>
      <c r="S40" s="84"/>
      <c r="T40" s="77"/>
      <c r="U40" s="77"/>
      <c r="V40" s="77"/>
      <c r="W40" s="77"/>
      <c r="X40" s="77"/>
      <c r="Y40" s="77"/>
      <c r="Z40" s="520"/>
      <c r="AA40" s="514"/>
    </row>
    <row r="41" spans="1:35" ht="15.75" customHeight="1" x14ac:dyDescent="0.25">
      <c r="A41" s="588"/>
      <c r="B41" s="515"/>
      <c r="C41" s="515"/>
      <c r="D41" s="589" t="s">
        <v>671</v>
      </c>
      <c r="E41" s="593">
        <v>0.25</v>
      </c>
      <c r="F41" s="590" t="s">
        <v>0</v>
      </c>
      <c r="G41" s="91"/>
      <c r="H41" s="91"/>
      <c r="I41" s="51"/>
      <c r="J41" s="76"/>
      <c r="K41" s="51"/>
      <c r="L41" s="51"/>
      <c r="M41" s="51"/>
      <c r="N41" s="51"/>
      <c r="O41" s="51"/>
      <c r="P41" s="51"/>
      <c r="Q41" s="51"/>
      <c r="R41" s="84"/>
      <c r="S41" s="84"/>
      <c r="T41" s="77"/>
      <c r="U41" s="77"/>
      <c r="V41" s="77"/>
      <c r="W41" s="77"/>
      <c r="X41" s="77"/>
      <c r="Y41" s="77"/>
      <c r="Z41" s="520"/>
      <c r="AA41" s="514"/>
    </row>
    <row r="42" spans="1:35" ht="15.75" customHeight="1" x14ac:dyDescent="0.25">
      <c r="A42" s="434"/>
      <c r="B42" s="77"/>
      <c r="C42" s="77"/>
      <c r="D42" s="651" t="s">
        <v>672</v>
      </c>
      <c r="E42" s="100">
        <v>0.35</v>
      </c>
      <c r="F42" s="439" t="s">
        <v>0</v>
      </c>
      <c r="G42" s="91"/>
      <c r="H42" s="91"/>
      <c r="I42" s="51"/>
      <c r="J42" s="76"/>
      <c r="K42" s="51"/>
      <c r="L42" s="51"/>
      <c r="M42" s="51"/>
      <c r="N42" s="51"/>
      <c r="O42" s="51"/>
      <c r="P42" s="51"/>
      <c r="Q42" s="51"/>
      <c r="R42" s="84"/>
      <c r="S42" s="84"/>
      <c r="T42" s="77"/>
      <c r="U42" s="77"/>
      <c r="V42" s="77"/>
      <c r="W42" s="77"/>
      <c r="X42" s="77"/>
      <c r="Y42" s="77"/>
      <c r="Z42" s="520"/>
      <c r="AA42" s="514"/>
    </row>
    <row r="43" spans="1:35" ht="15.75" customHeight="1" x14ac:dyDescent="0.2">
      <c r="A43" s="90"/>
      <c r="B43" s="136"/>
      <c r="C43" s="136"/>
      <c r="D43" s="155" t="s">
        <v>306</v>
      </c>
      <c r="E43" s="587">
        <v>77</v>
      </c>
      <c r="F43" s="440" t="s">
        <v>84</v>
      </c>
      <c r="G43" s="91"/>
      <c r="H43" s="91"/>
      <c r="I43" s="51"/>
      <c r="J43" s="76"/>
      <c r="K43" s="51"/>
      <c r="L43" s="51"/>
      <c r="M43" s="51"/>
      <c r="N43" s="51"/>
      <c r="O43" s="51"/>
      <c r="P43" s="51"/>
      <c r="Q43" s="51"/>
      <c r="R43" s="84"/>
      <c r="S43" s="84"/>
      <c r="T43" s="77"/>
      <c r="U43" s="77"/>
      <c r="V43" s="77"/>
      <c r="W43" s="77"/>
      <c r="X43" s="77"/>
      <c r="Y43" s="77"/>
      <c r="Z43" s="520"/>
      <c r="AA43" s="514"/>
    </row>
    <row r="44" spans="1:35" ht="15.75" customHeight="1" x14ac:dyDescent="0.25">
      <c r="A44" s="90"/>
      <c r="B44" s="91"/>
      <c r="C44" s="91"/>
      <c r="D44" s="88" t="s">
        <v>522</v>
      </c>
      <c r="E44" s="382">
        <v>60</v>
      </c>
      <c r="F44" s="439" t="s">
        <v>102</v>
      </c>
      <c r="G44" s="91"/>
      <c r="H44" s="91"/>
      <c r="I44" s="51"/>
      <c r="J44" s="51"/>
      <c r="K44" s="51"/>
      <c r="L44" s="51"/>
      <c r="M44" s="51"/>
      <c r="N44" s="51"/>
      <c r="O44" s="51"/>
      <c r="P44" s="51"/>
      <c r="Q44" s="51"/>
      <c r="R44" s="84"/>
      <c r="S44" s="84"/>
      <c r="T44" s="77"/>
      <c r="U44" s="77"/>
      <c r="V44" s="77"/>
      <c r="W44" s="77"/>
      <c r="X44" s="77"/>
      <c r="Y44" s="77"/>
      <c r="Z44" s="520"/>
      <c r="AA44" s="514"/>
    </row>
    <row r="45" spans="1:35" ht="15.75" customHeight="1" x14ac:dyDescent="0.3">
      <c r="A45" s="90"/>
      <c r="B45" s="91"/>
      <c r="C45" s="91"/>
      <c r="D45" s="89" t="s">
        <v>370</v>
      </c>
      <c r="E45" s="378">
        <f>CHOOSE(MODE, 'Calculations - Single'!BL105, 'Calculations - Dual'!BJ105)</f>
        <v>188.99985339621762</v>
      </c>
      <c r="F45" s="105" t="s">
        <v>294</v>
      </c>
      <c r="G45" s="91"/>
      <c r="H45" s="91"/>
      <c r="I45" s="51"/>
      <c r="J45" s="51"/>
      <c r="K45" s="51"/>
      <c r="L45" s="51"/>
      <c r="M45" s="51"/>
      <c r="N45" s="51"/>
      <c r="O45" s="51"/>
      <c r="P45" s="51"/>
      <c r="Q45" s="51"/>
      <c r="R45" s="84"/>
      <c r="S45" s="84"/>
      <c r="T45" s="77"/>
      <c r="U45" s="77"/>
      <c r="V45" s="77"/>
      <c r="W45" s="77"/>
      <c r="X45" s="77"/>
      <c r="Y45" s="77"/>
      <c r="Z45" s="520"/>
      <c r="AA45" s="514"/>
    </row>
    <row r="46" spans="1:35" ht="15.75" customHeight="1" thickBot="1" x14ac:dyDescent="0.35">
      <c r="A46" s="103"/>
      <c r="B46" s="104"/>
      <c r="C46" s="104"/>
      <c r="D46" s="381" t="s">
        <v>547</v>
      </c>
      <c r="E46" s="531">
        <f>E44+E45/1000*E43</f>
        <v>74.55298871150876</v>
      </c>
      <c r="F46" s="441" t="s">
        <v>102</v>
      </c>
      <c r="G46" s="91"/>
      <c r="H46" s="91"/>
      <c r="I46" s="51"/>
      <c r="J46" s="51"/>
      <c r="K46" s="51"/>
      <c r="L46" s="51"/>
      <c r="M46" s="51"/>
      <c r="N46" s="51"/>
      <c r="O46" s="51"/>
      <c r="P46" s="51"/>
      <c r="Q46" s="51"/>
      <c r="R46" s="84"/>
      <c r="S46" s="84"/>
      <c r="T46" s="77"/>
      <c r="U46" s="77"/>
      <c r="V46" s="77"/>
      <c r="W46" s="77"/>
      <c r="X46" s="77"/>
      <c r="Y46" s="77"/>
      <c r="Z46" s="520"/>
      <c r="AA46" s="514"/>
    </row>
    <row r="47" spans="1:35" ht="15.75" customHeight="1" thickBot="1" x14ac:dyDescent="0.25">
      <c r="A47" s="103"/>
      <c r="B47" s="106"/>
      <c r="C47" s="106"/>
      <c r="D47" s="106"/>
      <c r="E47" s="581"/>
      <c r="F47" s="106"/>
      <c r="G47" s="106"/>
      <c r="H47" s="106"/>
      <c r="I47" s="518"/>
      <c r="J47" s="518"/>
      <c r="K47" s="518"/>
      <c r="L47" s="518"/>
      <c r="M47" s="518"/>
      <c r="N47" s="518"/>
      <c r="O47" s="518"/>
      <c r="P47" s="518"/>
      <c r="Q47" s="518"/>
      <c r="R47" s="516"/>
      <c r="S47" s="516"/>
      <c r="T47" s="516"/>
      <c r="U47" s="517"/>
      <c r="V47" s="517"/>
      <c r="W47" s="516"/>
      <c r="X47" s="516"/>
      <c r="Y47" s="516"/>
      <c r="Z47" s="582"/>
      <c r="AA47" s="514"/>
      <c r="AB47" s="24"/>
      <c r="AC47" s="24"/>
      <c r="AD47" s="24"/>
      <c r="AG47" s="24"/>
      <c r="AH47" s="24"/>
      <c r="AI47" s="24"/>
    </row>
    <row r="48" spans="1:35" x14ac:dyDescent="0.2">
      <c r="A48" s="424"/>
      <c r="B48" s="425"/>
      <c r="C48" s="426"/>
      <c r="D48" s="426"/>
      <c r="E48" s="426"/>
      <c r="F48" s="426"/>
      <c r="G48" s="426"/>
      <c r="H48" s="426"/>
      <c r="I48" s="426"/>
      <c r="J48" s="426"/>
      <c r="K48" s="426"/>
      <c r="L48" s="426"/>
      <c r="M48" s="426"/>
      <c r="N48" s="426"/>
      <c r="O48" s="426"/>
      <c r="P48" s="426"/>
      <c r="Q48" s="426"/>
      <c r="R48" s="423"/>
      <c r="S48" s="423"/>
      <c r="T48" s="423"/>
      <c r="U48" s="514"/>
      <c r="V48" s="514"/>
      <c r="W48" s="423"/>
      <c r="X48" s="423"/>
      <c r="Y48" s="423"/>
      <c r="Z48" s="514"/>
      <c r="AA48" s="514"/>
      <c r="AB48" s="24"/>
      <c r="AC48" s="24"/>
      <c r="AD48" s="24"/>
      <c r="AG48" s="24"/>
      <c r="AH48" s="24"/>
      <c r="AI48" s="24"/>
    </row>
    <row r="49" spans="1:35" x14ac:dyDescent="0.2">
      <c r="A49" s="47"/>
      <c r="B49" s="47"/>
      <c r="C49" s="47"/>
      <c r="D49" s="47"/>
      <c r="E49" s="47"/>
      <c r="F49" s="47"/>
      <c r="G49" s="47"/>
      <c r="H49" s="47"/>
      <c r="I49" s="47"/>
      <c r="J49" s="47"/>
      <c r="K49" s="47"/>
      <c r="L49" s="47"/>
      <c r="M49" s="47"/>
      <c r="N49" s="47"/>
      <c r="O49" s="47"/>
      <c r="P49" s="47"/>
      <c r="Q49" s="47"/>
      <c r="R49" s="24"/>
      <c r="S49" s="24"/>
      <c r="T49" s="24"/>
      <c r="W49" s="24"/>
      <c r="X49" s="24"/>
      <c r="Y49" s="24"/>
      <c r="AB49" s="24"/>
      <c r="AC49" s="24"/>
      <c r="AD49" s="24"/>
      <c r="AG49" s="24"/>
      <c r="AH49" s="24"/>
      <c r="AI49" s="24"/>
    </row>
    <row r="50" spans="1:35" x14ac:dyDescent="0.2">
      <c r="B50" s="47"/>
      <c r="C50" s="47"/>
      <c r="D50" s="47"/>
      <c r="E50" s="47"/>
      <c r="F50" s="47"/>
      <c r="G50" s="47"/>
      <c r="H50" s="47"/>
      <c r="I50" s="47"/>
      <c r="J50" s="47"/>
      <c r="K50" s="47"/>
      <c r="L50" s="47"/>
      <c r="R50" s="24"/>
      <c r="S50" s="24"/>
      <c r="T50" s="24"/>
      <c r="W50" s="24"/>
      <c r="X50" s="24"/>
      <c r="Y50" s="24"/>
      <c r="AB50" s="24"/>
      <c r="AC50" s="24"/>
      <c r="AD50" s="24"/>
      <c r="AG50" s="24"/>
      <c r="AH50" s="24"/>
      <c r="AI50" s="24"/>
    </row>
    <row r="51" spans="1:35" x14ac:dyDescent="0.2">
      <c r="B51" s="47"/>
      <c r="C51" s="47"/>
      <c r="D51" s="47"/>
      <c r="E51" s="47"/>
      <c r="F51" s="47"/>
      <c r="G51" s="47"/>
      <c r="H51" s="47"/>
      <c r="I51" s="47"/>
      <c r="J51" s="47"/>
      <c r="K51" s="47"/>
      <c r="L51" s="47"/>
      <c r="R51" s="24"/>
      <c r="S51" s="24"/>
      <c r="T51" s="24"/>
      <c r="W51" s="24"/>
      <c r="X51" s="24"/>
      <c r="Y51" s="24"/>
      <c r="AB51" s="24"/>
      <c r="AC51" s="24"/>
      <c r="AD51" s="24"/>
      <c r="AG51" s="24"/>
      <c r="AH51" s="24"/>
      <c r="AI51" s="24"/>
    </row>
    <row r="52" spans="1:35" x14ac:dyDescent="0.2">
      <c r="B52" s="47"/>
      <c r="C52" s="47"/>
      <c r="D52" s="47"/>
      <c r="E52" s="47"/>
      <c r="F52" s="47"/>
      <c r="G52" s="47"/>
      <c r="H52" s="47"/>
      <c r="I52" s="47"/>
      <c r="J52" s="47"/>
      <c r="K52" s="47"/>
      <c r="L52" s="47"/>
      <c r="R52" s="24"/>
      <c r="S52" s="24"/>
      <c r="T52" s="24"/>
      <c r="W52" s="24"/>
      <c r="X52" s="24"/>
      <c r="Y52" s="24"/>
      <c r="AB52" s="24"/>
      <c r="AC52" s="24"/>
      <c r="AD52" s="24"/>
      <c r="AG52" s="24"/>
      <c r="AH52" s="24"/>
      <c r="AI52" s="24"/>
    </row>
    <row r="53" spans="1:35" x14ac:dyDescent="0.2">
      <c r="B53" s="47"/>
      <c r="C53" s="47"/>
      <c r="D53" s="47"/>
      <c r="E53" s="47"/>
      <c r="F53" s="47"/>
      <c r="G53" s="47"/>
      <c r="H53" s="47"/>
      <c r="I53" s="47"/>
      <c r="J53" s="47"/>
      <c r="K53" s="47"/>
      <c r="L53" s="47"/>
      <c r="R53" s="24"/>
      <c r="S53" s="24"/>
      <c r="T53" s="24"/>
      <c r="W53" s="24"/>
      <c r="X53" s="24"/>
      <c r="Y53" s="24"/>
      <c r="AB53" s="24"/>
      <c r="AC53" s="24"/>
      <c r="AD53" s="24"/>
      <c r="AG53" s="24"/>
      <c r="AH53" s="24"/>
      <c r="AI53" s="24"/>
    </row>
  </sheetData>
  <sheetProtection password="CCC8" sheet="1" objects="1" scenarios="1" selectLockedCells="1"/>
  <phoneticPr fontId="6" type="noConversion"/>
  <conditionalFormatting sqref="E6:E8">
    <cfRule type="cellIs" dxfId="58" priority="100" stopIfTrue="1" operator="notBetween">
      <formula>70</formula>
      <formula>4.5</formula>
    </cfRule>
  </conditionalFormatting>
  <conditionalFormatting sqref="E10">
    <cfRule type="cellIs" dxfId="57" priority="97" stopIfTrue="1" operator="notBetween">
      <formula>-200</formula>
      <formula>200</formula>
    </cfRule>
  </conditionalFormatting>
  <conditionalFormatting sqref="E21">
    <cfRule type="cellIs" dxfId="56" priority="94" stopIfTrue="1" operator="lessThan">
      <formula>$E$20</formula>
    </cfRule>
  </conditionalFormatting>
  <conditionalFormatting sqref="E17">
    <cfRule type="cellIs" dxfId="55" priority="90" stopIfTrue="1" operator="lessThan">
      <formula>$E$16</formula>
    </cfRule>
  </conditionalFormatting>
  <conditionalFormatting sqref="E18">
    <cfRule type="cellIs" dxfId="54" priority="89" stopIfTrue="1" operator="equal">
      <formula>0</formula>
    </cfRule>
  </conditionalFormatting>
  <conditionalFormatting sqref="E35">
    <cfRule type="cellIs" dxfId="53" priority="86" operator="notBetween">
      <formula>70</formula>
      <formula>4.5</formula>
    </cfRule>
  </conditionalFormatting>
  <conditionalFormatting sqref="E29">
    <cfRule type="cellIs" dxfId="52" priority="84" operator="lessThanOrEqual">
      <formula>0.5</formula>
    </cfRule>
  </conditionalFormatting>
  <conditionalFormatting sqref="F14">
    <cfRule type="expression" dxfId="51" priority="73">
      <formula>(MODE=2)</formula>
    </cfRule>
  </conditionalFormatting>
  <conditionalFormatting sqref="E29:F29">
    <cfRule type="expression" dxfId="50" priority="68">
      <formula>OR(MODE_SS=2,MODE_SS=3)</formula>
    </cfRule>
  </conditionalFormatting>
  <conditionalFormatting sqref="D29">
    <cfRule type="expression" dxfId="49" priority="67">
      <formula>OR(MODE_SS=2,MODE_SS=3)</formula>
    </cfRule>
  </conditionalFormatting>
  <conditionalFormatting sqref="D30:F30">
    <cfRule type="expression" dxfId="48" priority="66">
      <formula>OR(MODE_SS=2,MODE_SS=3)</formula>
    </cfRule>
  </conditionalFormatting>
  <conditionalFormatting sqref="D35">
    <cfRule type="expression" dxfId="47" priority="64">
      <formula>MODE_UVLO=2</formula>
    </cfRule>
  </conditionalFormatting>
  <conditionalFormatting sqref="C37:F39 E35:F36">
    <cfRule type="expression" dxfId="46" priority="38">
      <formula>MODE_UVLO=2</formula>
    </cfRule>
  </conditionalFormatting>
  <conditionalFormatting sqref="D36">
    <cfRule type="expression" dxfId="45" priority="61">
      <formula>MODE_UVLO=2</formula>
    </cfRule>
  </conditionalFormatting>
  <conditionalFormatting sqref="E46">
    <cfRule type="cellIs" dxfId="44" priority="46" operator="notBetween">
      <formula>-40</formula>
      <formula>150</formula>
    </cfRule>
  </conditionalFormatting>
  <conditionalFormatting sqref="E44">
    <cfRule type="cellIs" dxfId="43" priority="45" operator="notBetween">
      <formula>-40</formula>
      <formula>150</formula>
    </cfRule>
  </conditionalFormatting>
  <conditionalFormatting sqref="F20">
    <cfRule type="cellIs" dxfId="42" priority="44" stopIfTrue="1" operator="lessThanOrEqual">
      <formula>0</formula>
    </cfRule>
  </conditionalFormatting>
  <conditionalFormatting sqref="A36:F36">
    <cfRule type="expression" dxfId="41" priority="28">
      <formula>MODE_UVLO=1</formula>
    </cfRule>
  </conditionalFormatting>
  <conditionalFormatting sqref="A39:F39">
    <cfRule type="expression" dxfId="40" priority="37">
      <formula>MODE_UVLO=2</formula>
    </cfRule>
  </conditionalFormatting>
  <conditionalFormatting sqref="F37:F38">
    <cfRule type="expression" dxfId="39" priority="36">
      <formula>MODE_UVLO=2</formula>
    </cfRule>
  </conditionalFormatting>
  <conditionalFormatting sqref="E36">
    <cfRule type="cellIs" dxfId="38" priority="62" operator="notBetween">
      <formula>4.5</formula>
      <formula>$E$35</formula>
    </cfRule>
  </conditionalFormatting>
  <conditionalFormatting sqref="F16">
    <cfRule type="cellIs" dxfId="37" priority="26" stopIfTrue="1" operator="lessThanOrEqual">
      <formula>0</formula>
    </cfRule>
  </conditionalFormatting>
  <conditionalFormatting sqref="E11">
    <cfRule type="cellIs" dxfId="36" priority="25" operator="between">
      <formula>-0.0099</formula>
      <formula>0.0099</formula>
    </cfRule>
  </conditionalFormatting>
  <conditionalFormatting sqref="E11">
    <cfRule type="expression" dxfId="35" priority="52">
      <formula>"Iout&gt;2"</formula>
    </cfRule>
  </conditionalFormatting>
  <conditionalFormatting sqref="J37">
    <cfRule type="cellIs" dxfId="34" priority="108" stopIfTrue="1" operator="notBetween">
      <formula>600</formula>
      <formula>50</formula>
    </cfRule>
    <cfRule type="cellIs" dxfId="33" priority="109" stopIfTrue="1" operator="greaterThan">
      <formula>$E$9</formula>
    </cfRule>
  </conditionalFormatting>
  <conditionalFormatting sqref="E12">
    <cfRule type="cellIs" dxfId="32" priority="24" operator="notBetween">
      <formula>-200</formula>
      <formula>200</formula>
    </cfRule>
  </conditionalFormatting>
  <conditionalFormatting sqref="E13">
    <cfRule type="cellIs" dxfId="31" priority="22" operator="between">
      <formula>-0.0099</formula>
      <formula>0.0099</formula>
    </cfRule>
  </conditionalFormatting>
  <conditionalFormatting sqref="E13">
    <cfRule type="expression" dxfId="30" priority="23">
      <formula>Iout2 &gt; 2</formula>
    </cfRule>
  </conditionalFormatting>
  <conditionalFormatting sqref="E22">
    <cfRule type="cellIs" dxfId="29" priority="18" stopIfTrue="1" operator="equal">
      <formula>0</formula>
    </cfRule>
  </conditionalFormatting>
  <conditionalFormatting sqref="D32">
    <cfRule type="expression" dxfId="28" priority="13">
      <formula>OR(TC=2)</formula>
    </cfRule>
  </conditionalFormatting>
  <conditionalFormatting sqref="D33:F33 E32:F32">
    <cfRule type="expression" dxfId="27" priority="12">
      <formula>OR(TC=2)</formula>
    </cfRule>
  </conditionalFormatting>
  <conditionalFormatting sqref="L22">
    <cfRule type="cellIs" dxfId="26" priority="6" stopIfTrue="1" operator="equal">
      <formula>0</formula>
    </cfRule>
  </conditionalFormatting>
  <conditionalFormatting sqref="L21">
    <cfRule type="cellIs" dxfId="25" priority="8" stopIfTrue="1" operator="lessThan">
      <formula>$L$20</formula>
    </cfRule>
  </conditionalFormatting>
  <conditionalFormatting sqref="M20">
    <cfRule type="cellIs" dxfId="24" priority="7" stopIfTrue="1" operator="lessThanOrEqual">
      <formula>0</formula>
    </cfRule>
  </conditionalFormatting>
  <hyperlinks>
    <hyperlink ref="C3" r:id="rId1"/>
  </hyperlinks>
  <printOptions horizontalCentered="1" verticalCentered="1"/>
  <pageMargins left="0.1" right="0.1" top="0.1" bottom="0.1" header="0.25" footer="0.25"/>
  <pageSetup scale="61" orientation="landscape" r:id="rId2"/>
  <headerFooter alignWithMargins="0"/>
  <rowBreaks count="1" manualBreakCount="1">
    <brk id="48" max="16383" man="1"/>
  </rowBreaks>
  <drawing r:id="rId3"/>
  <legacyDrawing r:id="rId4"/>
  <legacyDrawingHF r:id="rId5"/>
  <mc:AlternateContent xmlns:mc="http://schemas.openxmlformats.org/markup-compatibility/2006">
    <mc:Choice Requires="x14">
      <controls>
        <mc:AlternateContent xmlns:mc="http://schemas.openxmlformats.org/markup-compatibility/2006">
          <mc:Choice Requires="x14">
            <control shapeId="672895" r:id="rId6" name="Spinner 127">
              <controlPr defaultSize="0" autoPict="0">
                <anchor moveWithCells="1" sizeWithCells="1">
                  <from>
                    <xdr:col>5</xdr:col>
                    <xdr:colOff>123825</xdr:colOff>
                    <xdr:row>6</xdr:row>
                    <xdr:rowOff>9525</xdr:rowOff>
                  </from>
                  <to>
                    <xdr:col>5</xdr:col>
                    <xdr:colOff>304800</xdr:colOff>
                    <xdr:row>7</xdr:row>
                    <xdr:rowOff>28575</xdr:rowOff>
                  </to>
                </anchor>
              </controlPr>
            </control>
          </mc:Choice>
        </mc:AlternateContent>
        <mc:AlternateContent xmlns:mc="http://schemas.openxmlformats.org/markup-compatibility/2006">
          <mc:Choice Requires="x14">
            <control shapeId="672935" r:id="rId7" name="Drop Down 167">
              <controlPr defaultSize="0" autoLine="0" autoPict="0">
                <anchor moveWithCells="1">
                  <from>
                    <xdr:col>4</xdr:col>
                    <xdr:colOff>9525</xdr:colOff>
                    <xdr:row>27</xdr:row>
                    <xdr:rowOff>0</xdr:rowOff>
                  </from>
                  <to>
                    <xdr:col>5</xdr:col>
                    <xdr:colOff>276225</xdr:colOff>
                    <xdr:row>28</xdr:row>
                    <xdr:rowOff>28575</xdr:rowOff>
                  </to>
                </anchor>
              </controlPr>
            </control>
          </mc:Choice>
        </mc:AlternateContent>
        <mc:AlternateContent xmlns:mc="http://schemas.openxmlformats.org/markup-compatibility/2006">
          <mc:Choice Requires="x14">
            <control shapeId="673043" r:id="rId8" name="Drop Down 275">
              <controlPr defaultSize="0" autoLine="0" autoPict="0">
                <anchor moveWithCells="1">
                  <from>
                    <xdr:col>4</xdr:col>
                    <xdr:colOff>9525</xdr:colOff>
                    <xdr:row>33</xdr:row>
                    <xdr:rowOff>0</xdr:rowOff>
                  </from>
                  <to>
                    <xdr:col>5</xdr:col>
                    <xdr:colOff>257175</xdr:colOff>
                    <xdr:row>33</xdr:row>
                    <xdr:rowOff>200025</xdr:rowOff>
                  </to>
                </anchor>
              </controlPr>
            </control>
          </mc:Choice>
        </mc:AlternateContent>
        <mc:AlternateContent xmlns:mc="http://schemas.openxmlformats.org/markup-compatibility/2006">
          <mc:Choice Requires="x14">
            <control shapeId="697343" r:id="rId9" name="Drop Down 3071">
              <controlPr defaultSize="0" autoLine="0" autoPict="0">
                <anchor moveWithCells="1">
                  <from>
                    <xdr:col>11</xdr:col>
                    <xdr:colOff>9525</xdr:colOff>
                    <xdr:row>11</xdr:row>
                    <xdr:rowOff>0</xdr:rowOff>
                  </from>
                  <to>
                    <xdr:col>12</xdr:col>
                    <xdr:colOff>66675</xdr:colOff>
                    <xdr:row>12</xdr:row>
                    <xdr:rowOff>9525</xdr:rowOff>
                  </to>
                </anchor>
              </controlPr>
            </control>
          </mc:Choice>
        </mc:AlternateContent>
        <mc:AlternateContent xmlns:mc="http://schemas.openxmlformats.org/markup-compatibility/2006">
          <mc:Choice Requires="x14">
            <control shapeId="714798" r:id="rId10" name="Drop Down 3118">
              <controlPr defaultSize="0" autoLine="0" autoPict="0">
                <anchor moveWithCells="1">
                  <from>
                    <xdr:col>4</xdr:col>
                    <xdr:colOff>0</xdr:colOff>
                    <xdr:row>30</xdr:row>
                    <xdr:rowOff>9525</xdr:rowOff>
                  </from>
                  <to>
                    <xdr:col>5</xdr:col>
                    <xdr:colOff>266700</xdr:colOff>
                    <xdr:row>31</xdr:row>
                    <xdr:rowOff>9525</xdr:rowOff>
                  </to>
                </anchor>
              </controlPr>
            </control>
          </mc:Choice>
        </mc:AlternateContent>
        <mc:AlternateContent xmlns:mc="http://schemas.openxmlformats.org/markup-compatibility/2006">
          <mc:Choice Requires="x14">
            <control shapeId="715085" r:id="rId11" name="Drop Down 3405">
              <controlPr locked="0" defaultSize="0" autoLine="0" autoPict="0">
                <anchor moveWithCells="1">
                  <from>
                    <xdr:col>4</xdr:col>
                    <xdr:colOff>0</xdr:colOff>
                    <xdr:row>7</xdr:row>
                    <xdr:rowOff>190500</xdr:rowOff>
                  </from>
                  <to>
                    <xdr:col>5</xdr:col>
                    <xdr:colOff>76200</xdr:colOff>
                    <xdr:row>8</xdr:row>
                    <xdr:rowOff>190500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38" id="{2F97F2FF-95A0-40C5-B045-6ADA68EA7C2F}">
            <xm:f>'Variable Mgmt'!$B$52</xm:f>
            <x14:dxf>
              <font>
                <strike val="0"/>
                <color theme="0"/>
              </font>
              <fill>
                <patternFill>
                  <bgColor theme="0"/>
                </patternFill>
              </fill>
            </x14:dxf>
          </x14:cfRule>
          <xm:sqref>E12:E13</xm:sqref>
        </x14:conditionalFormatting>
        <x14:conditionalFormatting xmlns:xm="http://schemas.microsoft.com/office/excel/2006/main">
          <x14:cfRule type="expression" priority="140" id="{9B976DD7-FFA8-454F-A63D-186A721FDF9C}">
            <xm:f>'Variable Mgmt'!$B$52</xm:f>
            <x14:dxf>
              <border>
                <bottom/>
                <vertical/>
                <horizontal/>
              </border>
            </x14:dxf>
          </x14:cfRule>
          <xm:sqref>A12:F13</xm:sqref>
        </x14:conditionalFormatting>
        <x14:conditionalFormatting xmlns:xm="http://schemas.microsoft.com/office/excel/2006/main">
          <x14:cfRule type="expression" priority="141" id="{25C53C6F-CE07-4419-8FCF-F6B8FCD8434A}">
            <xm:f>'Variable Mgmt'!$B$52</xm:f>
            <x14:dxf>
              <border>
                <right/>
                <vertical/>
                <horizontal/>
              </border>
            </x14:dxf>
          </x14:cfRule>
          <xm:sqref>F12:F13</xm:sqref>
        </x14:conditionalFormatting>
        <x14:conditionalFormatting xmlns:xm="http://schemas.microsoft.com/office/excel/2006/main">
          <x14:cfRule type="expression" priority="11" id="{56BB0655-3B2C-4E9D-AD05-7700A46C30F4}">
            <xm:f>'Variable Mgmt'!$B$52=FALSE</xm:f>
            <x14:dxf>
              <border>
                <bottom/>
                <vertical/>
                <horizontal/>
              </border>
            </x14:dxf>
          </x14:cfRule>
          <xm:sqref>A12:F12</xm:sqref>
        </x14:conditionalFormatting>
        <x14:conditionalFormatting xmlns:xm="http://schemas.microsoft.com/office/excel/2006/main">
          <x14:cfRule type="expression" priority="10" id="{7DE853EF-1754-4C48-A140-FF26B3EC5CF8}">
            <xm:f>'Variable Mgmt'!$B$52=FALSE</xm:f>
            <x14:dxf>
              <border>
                <bottom/>
                <vertical/>
                <horizontal/>
              </border>
            </x14:dxf>
          </x14:cfRule>
          <xm:sqref>A11:F11</xm:sqref>
        </x14:conditionalFormatting>
        <x14:conditionalFormatting xmlns:xm="http://schemas.microsoft.com/office/excel/2006/main">
          <x14:cfRule type="expression" priority="5" id="{18CE8F81-B526-43C7-B5F1-BAA9C73809CD}">
            <xm:f>'Variable Mgmt'!$B$52=TRUE</xm:f>
            <x14:dxf>
              <font>
                <color theme="0"/>
              </font>
              <fill>
                <patternFill>
                  <bgColor theme="0"/>
                </patternFill>
              </fill>
              <border>
                <right/>
                <top/>
                <bottom/>
              </border>
            </x14:dxf>
          </x14:cfRule>
          <xm:sqref>K20:M23</xm:sqref>
        </x14:conditionalFormatting>
        <x14:conditionalFormatting xmlns:xm="http://schemas.microsoft.com/office/excel/2006/main">
          <x14:cfRule type="expression" priority="4" id="{B42E45EE-F49B-4512-9DB9-8B85B95C6919}">
            <xm:f>'Variable Mgmt'!$B$52=TRUE</xm:f>
            <x14:dxf>
              <border>
                <left/>
                <right/>
                <top/>
                <bottom/>
                <vertical/>
                <horizontal/>
              </border>
            </x14:dxf>
          </x14:cfRule>
          <xm:sqref>H20:J23</xm:sqref>
        </x14:conditionalFormatting>
        <x14:conditionalFormatting xmlns:xm="http://schemas.microsoft.com/office/excel/2006/main">
          <x14:cfRule type="expression" priority="3" id="{8076779E-531E-4945-9FF1-9C72CDB0D6DC}">
            <xm:f>'Variable Mgmt'!$B$52=TRUE</xm:f>
            <x14:dxf>
              <border>
                <top/>
                <bottom/>
                <vertical/>
                <horizontal/>
              </border>
            </x14:dxf>
          </x14:cfRule>
          <xm:sqref>G21:G22</xm:sqref>
        </x14:conditionalFormatting>
        <x14:conditionalFormatting xmlns:xm="http://schemas.microsoft.com/office/excel/2006/main">
          <x14:cfRule type="expression" priority="144" id="{2E385B5D-C8C9-48C7-B4AE-E1A8F27EB6E6}">
            <xm:f>AND('Variable Mgmt'!#REF!&gt;'Variable Mgmt'!$B$56*1/1000, MODE=1)</xm:f>
            <x14:dxf>
              <font>
                <color rgb="FFFF0000"/>
              </font>
            </x14:dxf>
          </x14:cfRule>
          <xm:sqref>L7</xm:sqref>
        </x14:conditionalFormatting>
        <x14:conditionalFormatting xmlns:xm="http://schemas.microsoft.com/office/excel/2006/main">
          <x14:cfRule type="expression" priority="145" id="{EE277573-B7FD-4D2F-97C3-CC46EAD89E7B}">
            <xm:f>AND('Variable Mgmt'!#REF!&gt;'Variable Mgmt'!$B$56*1/1000, MODE=1)</xm:f>
            <x14:dxf>
              <font>
                <b/>
                <i val="0"/>
                <color rgb="FFFF0000"/>
              </font>
            </x14:dxf>
          </x14:cfRule>
          <xm:sqref>L12</xm:sqref>
        </x14:conditionalFormatting>
        <x14:conditionalFormatting xmlns:xm="http://schemas.microsoft.com/office/excel/2006/main">
          <x14:cfRule type="expression" priority="2" id="{DA50B535-B6B5-4DFB-9CBC-C505A48C7EB5}">
            <xm:f>'Variable Mgmt'!$B$52=TRUE</xm:f>
            <x14:dxf>
              <font>
                <color theme="0"/>
              </font>
              <fill>
                <patternFill>
                  <bgColor theme="0"/>
                </patternFill>
              </fill>
            </x14:dxf>
          </x14:cfRule>
          <xm:sqref>L10</xm:sqref>
        </x14:conditionalFormatting>
        <x14:conditionalFormatting xmlns:xm="http://schemas.microsoft.com/office/excel/2006/main">
          <x14:cfRule type="expression" priority="1" id="{FB76FAF3-E114-4E5D-9585-0FED8547CF75}">
            <xm:f>'Variable Mgmt'!$D$38=TRUE</xm:f>
            <x14:dxf>
              <font>
                <color theme="0"/>
              </font>
              <fill>
                <patternFill patternType="solid">
                  <fgColor auto="1"/>
                  <bgColor rgb="FFFF0000"/>
                </patternFill>
              </fill>
            </x14:dxf>
          </x14:cfRule>
          <xm:sqref>L15:M15</xm:sqref>
        </x14:conditionalFormatting>
      </x14:conditionalFormattings>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dimension ref="A2:B7"/>
  <sheetViews>
    <sheetView topLeftCell="A7" zoomScaleNormal="100" workbookViewId="0">
      <selection activeCell="B12" sqref="B12"/>
    </sheetView>
  </sheetViews>
  <sheetFormatPr defaultRowHeight="12.75" x14ac:dyDescent="0.2"/>
  <cols>
    <col min="2" max="2" width="126.42578125" customWidth="1"/>
  </cols>
  <sheetData>
    <row r="2" spans="1:2" ht="17.25" customHeight="1" x14ac:dyDescent="0.2">
      <c r="A2" s="78" t="str">
        <f>CHOOSE(MODE, "Fsw_SINGLE", "Fsw_DUAL")</f>
        <v>Fsw_SINGLE</v>
      </c>
    </row>
    <row r="5" spans="1:2" ht="409.5" customHeight="1" x14ac:dyDescent="0.2">
      <c r="B5" s="368"/>
    </row>
    <row r="6" spans="1:2" ht="17.100000000000001" customHeight="1" x14ac:dyDescent="0.2"/>
    <row r="7" spans="1:2" ht="409.5" customHeight="1" x14ac:dyDescent="0.2">
      <c r="B7" s="368"/>
    </row>
  </sheetData>
  <phoneticPr fontId="82" type="noConversion"/>
  <pageMargins left="0.7" right="0.7" top="0.75" bottom="0.75" header="0.3" footer="0.3"/>
  <pageSetup orientation="portrait" r:id="rId1"/>
  <drawing r:id="rId2"/>
  <legacy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B050"/>
  </sheetPr>
  <dimension ref="A2:T67"/>
  <sheetViews>
    <sheetView topLeftCell="C8" zoomScaleNormal="100" zoomScaleSheetLayoutView="145" workbookViewId="0">
      <selection activeCell="H21" sqref="H21"/>
    </sheetView>
  </sheetViews>
  <sheetFormatPr defaultRowHeight="12.75" x14ac:dyDescent="0.2"/>
  <cols>
    <col min="1" max="1" width="12.7109375" style="368" customWidth="1"/>
    <col min="2" max="2" width="124.7109375" style="12" customWidth="1"/>
    <col min="3" max="4" width="9.140625" style="368"/>
    <col min="5" max="5" width="124.7109375" style="8" customWidth="1"/>
    <col min="8" max="8" width="124.7109375" style="369" customWidth="1"/>
  </cols>
  <sheetData>
    <row r="2" spans="1:15" x14ac:dyDescent="0.2">
      <c r="A2" s="368" t="str">
        <f>'Variable Mgmt'!K44</f>
        <v>SCH_SINGLE_UVLOadj_SSint_TCno</v>
      </c>
    </row>
    <row r="5" spans="1:15" s="368" customFormat="1" ht="13.5" customHeight="1" x14ac:dyDescent="0.2">
      <c r="E5" s="369"/>
      <c r="H5" s="369"/>
    </row>
    <row r="6" spans="1:15" s="368" customFormat="1" ht="16.5" customHeight="1" x14ac:dyDescent="0.2">
      <c r="E6" s="369"/>
      <c r="H6" s="369"/>
    </row>
    <row r="7" spans="1:15" ht="357" customHeight="1" x14ac:dyDescent="0.2">
      <c r="B7" s="13"/>
      <c r="E7" s="396"/>
      <c r="F7" s="12"/>
      <c r="G7" s="12"/>
      <c r="I7" s="12"/>
      <c r="J7" s="12"/>
      <c r="K7" s="12"/>
      <c r="L7" s="12"/>
      <c r="M7" s="12"/>
      <c r="N7" s="12"/>
    </row>
    <row r="8" spans="1:15" s="368" customFormat="1" ht="17.25" customHeight="1" x14ac:dyDescent="0.2">
      <c r="B8" s="369"/>
      <c r="E8" s="369"/>
      <c r="H8" s="369"/>
      <c r="O8" s="370"/>
    </row>
    <row r="9" spans="1:15" ht="357" customHeight="1" x14ac:dyDescent="0.2">
      <c r="B9" s="113"/>
      <c r="D9" s="369"/>
      <c r="E9" s="396"/>
      <c r="F9" s="368"/>
      <c r="G9" s="12"/>
      <c r="I9" s="12"/>
      <c r="J9" s="12"/>
      <c r="K9" s="12"/>
      <c r="L9" s="12"/>
      <c r="M9" s="12"/>
      <c r="N9" s="12"/>
      <c r="O9" s="371"/>
    </row>
    <row r="10" spans="1:15" s="368" customFormat="1" x14ac:dyDescent="0.2">
      <c r="E10" s="369"/>
      <c r="H10" s="369"/>
    </row>
    <row r="11" spans="1:15" ht="357" customHeight="1" x14ac:dyDescent="0.2">
      <c r="B11" s="396"/>
      <c r="D11" s="369"/>
      <c r="E11" s="369"/>
      <c r="F11" s="368"/>
      <c r="G11" s="12"/>
      <c r="I11" s="12"/>
      <c r="J11" s="12"/>
      <c r="K11" s="12"/>
      <c r="L11" s="12"/>
      <c r="M11" s="12"/>
      <c r="N11" s="12"/>
      <c r="O11" s="371"/>
    </row>
    <row r="12" spans="1:15" x14ac:dyDescent="0.2">
      <c r="B12" s="368"/>
      <c r="E12" s="369"/>
      <c r="F12" s="368"/>
      <c r="G12" s="12"/>
      <c r="I12" s="12"/>
      <c r="J12" s="12"/>
      <c r="K12" s="12"/>
      <c r="L12" s="12"/>
      <c r="M12" s="12"/>
      <c r="N12" s="12"/>
    </row>
    <row r="13" spans="1:15" ht="357" customHeight="1" x14ac:dyDescent="0.2">
      <c r="B13" s="396"/>
      <c r="E13" s="369"/>
      <c r="F13" s="368"/>
      <c r="G13" s="12"/>
      <c r="I13" s="12"/>
      <c r="J13" s="12"/>
      <c r="K13" s="12"/>
      <c r="L13" s="12"/>
      <c r="M13" s="12"/>
      <c r="N13" s="12"/>
      <c r="O13" s="371"/>
    </row>
    <row r="14" spans="1:15" x14ac:dyDescent="0.2">
      <c r="B14" s="368"/>
      <c r="E14" s="369"/>
      <c r="F14" s="368"/>
      <c r="G14" s="12"/>
      <c r="I14" s="12"/>
      <c r="J14" s="12"/>
      <c r="K14" s="12"/>
      <c r="L14" s="12"/>
      <c r="M14" s="12"/>
      <c r="N14" s="12"/>
    </row>
    <row r="15" spans="1:15" ht="357" customHeight="1" x14ac:dyDescent="0.2">
      <c r="E15" s="369"/>
      <c r="F15" s="368"/>
      <c r="G15" s="12"/>
      <c r="I15" s="12"/>
      <c r="J15" s="12"/>
      <c r="K15" s="12"/>
      <c r="L15" s="12"/>
      <c r="M15" s="12"/>
      <c r="N15" s="12"/>
      <c r="O15" s="371"/>
    </row>
    <row r="16" spans="1:15" x14ac:dyDescent="0.2">
      <c r="B16" s="368"/>
      <c r="E16" s="369"/>
      <c r="F16" s="12"/>
      <c r="G16" s="12"/>
      <c r="I16" s="12"/>
      <c r="J16" s="12"/>
      <c r="K16" s="12"/>
      <c r="L16" s="12"/>
      <c r="M16" s="12"/>
      <c r="N16" s="12"/>
    </row>
    <row r="17" spans="2:15" ht="357" customHeight="1" x14ac:dyDescent="0.2">
      <c r="B17" s="396"/>
      <c r="E17" s="369"/>
      <c r="F17" s="368"/>
      <c r="G17" s="12"/>
      <c r="I17" s="12"/>
      <c r="J17" s="12"/>
      <c r="K17" s="12"/>
      <c r="L17" s="12"/>
      <c r="M17" s="12"/>
      <c r="N17" s="12"/>
      <c r="O17" s="371"/>
    </row>
    <row r="18" spans="2:15" ht="12" customHeight="1" x14ac:dyDescent="0.2">
      <c r="B18" s="368"/>
      <c r="E18" s="369"/>
      <c r="F18" s="12"/>
      <c r="G18" s="12"/>
      <c r="I18" s="12"/>
      <c r="J18" s="12"/>
      <c r="K18" s="12"/>
      <c r="L18" s="12"/>
      <c r="M18" s="12"/>
      <c r="N18" s="12"/>
    </row>
    <row r="19" spans="2:15" ht="357" customHeight="1" x14ac:dyDescent="0.2">
      <c r="B19" s="368"/>
      <c r="E19" s="369"/>
      <c r="F19" s="12"/>
      <c r="G19" s="12"/>
      <c r="I19" s="12"/>
      <c r="J19" s="12"/>
      <c r="K19" s="12"/>
      <c r="L19" s="12"/>
      <c r="M19" s="12"/>
      <c r="N19" s="12"/>
    </row>
    <row r="20" spans="2:15" ht="13.5" customHeight="1" x14ac:dyDescent="0.2">
      <c r="B20" s="368"/>
      <c r="E20" s="369"/>
      <c r="F20" s="12"/>
      <c r="G20" s="12"/>
      <c r="I20" s="12"/>
      <c r="J20" s="12"/>
      <c r="K20" s="12"/>
      <c r="L20" s="12"/>
      <c r="M20" s="12"/>
      <c r="N20" s="12"/>
    </row>
    <row r="21" spans="2:15" ht="357" customHeight="1" x14ac:dyDescent="0.2">
      <c r="B21" s="368"/>
      <c r="E21" s="369"/>
      <c r="F21" s="12"/>
      <c r="G21" s="12"/>
      <c r="I21" s="12"/>
      <c r="J21" s="12"/>
      <c r="K21" s="12"/>
      <c r="L21" s="12"/>
      <c r="M21" s="12"/>
      <c r="N21" s="12"/>
    </row>
    <row r="22" spans="2:15" x14ac:dyDescent="0.2">
      <c r="B22" s="368"/>
      <c r="E22" s="369"/>
      <c r="F22" s="12"/>
      <c r="G22" s="12"/>
      <c r="I22" s="12"/>
      <c r="J22" s="12"/>
      <c r="K22" s="12"/>
      <c r="L22" s="12"/>
      <c r="M22" s="12"/>
      <c r="N22" s="12"/>
    </row>
    <row r="23" spans="2:15" ht="357" customHeight="1" x14ac:dyDescent="0.2">
      <c r="B23" s="368"/>
      <c r="E23" s="369"/>
      <c r="F23" s="12"/>
      <c r="G23" s="12"/>
      <c r="I23" s="12"/>
      <c r="J23" s="12"/>
      <c r="K23" s="12"/>
      <c r="L23" s="12"/>
      <c r="M23" s="12"/>
      <c r="N23" s="12"/>
    </row>
    <row r="24" spans="2:15" x14ac:dyDescent="0.2">
      <c r="B24" s="368"/>
      <c r="E24" s="369"/>
      <c r="F24" s="12"/>
      <c r="G24" s="12"/>
      <c r="I24" s="12"/>
      <c r="J24" s="12"/>
      <c r="K24" s="12"/>
      <c r="L24" s="12"/>
      <c r="M24" s="12"/>
      <c r="N24" s="12"/>
    </row>
    <row r="25" spans="2:15" ht="327.75" customHeight="1" x14ac:dyDescent="0.2">
      <c r="B25" s="368"/>
      <c r="E25" s="369"/>
      <c r="F25" s="12"/>
      <c r="G25" s="12"/>
      <c r="I25" s="12"/>
      <c r="J25" s="12"/>
      <c r="K25" s="12"/>
      <c r="L25" s="12"/>
      <c r="M25" s="12"/>
      <c r="N25" s="12"/>
    </row>
    <row r="26" spans="2:15" x14ac:dyDescent="0.2">
      <c r="E26" s="369"/>
      <c r="F26" s="12"/>
      <c r="G26" s="12"/>
      <c r="I26" s="12"/>
      <c r="J26" s="12"/>
      <c r="K26" s="12"/>
      <c r="L26" s="12"/>
      <c r="M26" s="12"/>
      <c r="N26" s="12"/>
    </row>
    <row r="27" spans="2:15" ht="327.60000000000002" customHeight="1" x14ac:dyDescent="0.2">
      <c r="B27" s="368"/>
      <c r="E27" s="369"/>
      <c r="F27" s="12"/>
      <c r="G27" s="12"/>
      <c r="I27" s="12"/>
      <c r="J27" s="12"/>
      <c r="K27" s="12"/>
      <c r="L27" s="12"/>
      <c r="M27" s="12"/>
      <c r="N27" s="12"/>
    </row>
    <row r="28" spans="2:15" x14ac:dyDescent="0.2">
      <c r="B28" s="368"/>
      <c r="E28" s="369"/>
      <c r="F28" s="12"/>
      <c r="G28" s="12"/>
      <c r="I28" s="12"/>
      <c r="J28" s="12"/>
      <c r="K28" s="12"/>
      <c r="L28" s="12"/>
      <c r="M28" s="12"/>
      <c r="N28" s="12"/>
    </row>
    <row r="29" spans="2:15" ht="327.75" customHeight="1" x14ac:dyDescent="0.2">
      <c r="B29" s="368"/>
      <c r="E29" s="369"/>
      <c r="F29" s="12"/>
      <c r="G29" s="12"/>
      <c r="I29" s="12"/>
      <c r="J29" s="12"/>
      <c r="K29" s="12"/>
      <c r="L29" s="12"/>
      <c r="M29" s="12"/>
      <c r="N29" s="12"/>
    </row>
    <row r="30" spans="2:15" ht="13.5" customHeight="1" x14ac:dyDescent="0.2">
      <c r="B30" s="368"/>
      <c r="E30" s="369"/>
      <c r="F30" s="12"/>
      <c r="G30" s="12"/>
      <c r="I30" s="12"/>
      <c r="J30" s="12"/>
      <c r="K30" s="12"/>
      <c r="L30" s="12"/>
      <c r="M30" s="12"/>
      <c r="N30" s="12"/>
    </row>
    <row r="31" spans="2:15" ht="327.75" customHeight="1" x14ac:dyDescent="0.2">
      <c r="B31" s="368"/>
      <c r="E31" s="369"/>
      <c r="F31" s="12"/>
      <c r="G31" s="12"/>
      <c r="I31" s="12"/>
      <c r="J31" s="12"/>
      <c r="K31" s="12"/>
      <c r="L31" s="12"/>
      <c r="M31" s="12"/>
      <c r="N31" s="12"/>
    </row>
    <row r="32" spans="2:15" ht="13.5" customHeight="1" x14ac:dyDescent="0.2">
      <c r="B32" s="368"/>
      <c r="E32" s="369"/>
      <c r="F32" s="12"/>
      <c r="G32" s="12"/>
      <c r="I32" s="12"/>
      <c r="J32" s="12"/>
      <c r="K32" s="12"/>
      <c r="L32" s="12"/>
      <c r="M32" s="12"/>
      <c r="N32" s="12"/>
    </row>
    <row r="33" spans="2:20" ht="327.75" customHeight="1" x14ac:dyDescent="0.2">
      <c r="B33" s="368"/>
      <c r="E33" s="369"/>
      <c r="F33" s="12"/>
      <c r="G33" s="12"/>
      <c r="I33" s="12"/>
      <c r="J33" s="12"/>
      <c r="K33" s="12"/>
      <c r="L33" s="12"/>
      <c r="M33" s="12"/>
      <c r="N33" s="12"/>
    </row>
    <row r="34" spans="2:20" ht="13.5" customHeight="1" x14ac:dyDescent="0.2">
      <c r="B34" s="368"/>
      <c r="E34" s="369"/>
      <c r="F34" s="12"/>
      <c r="G34" s="12"/>
      <c r="I34" s="12"/>
      <c r="J34" s="12"/>
      <c r="K34" s="12"/>
      <c r="L34" s="12"/>
      <c r="M34" s="12"/>
      <c r="N34" s="12"/>
    </row>
    <row r="35" spans="2:20" ht="327.60000000000002" customHeight="1" x14ac:dyDescent="0.2">
      <c r="B35" s="368"/>
      <c r="E35" s="369"/>
      <c r="F35" s="12"/>
      <c r="G35" s="12"/>
      <c r="I35" s="12"/>
      <c r="J35" s="12"/>
      <c r="K35" s="12"/>
      <c r="L35" s="12"/>
      <c r="M35" s="12"/>
      <c r="N35" s="12"/>
    </row>
    <row r="36" spans="2:20" ht="13.5" customHeight="1" x14ac:dyDescent="0.2">
      <c r="B36" s="368"/>
      <c r="E36" s="369"/>
      <c r="F36" s="12"/>
      <c r="G36" s="12"/>
      <c r="I36" s="12"/>
      <c r="J36" s="12"/>
      <c r="K36" s="12"/>
      <c r="L36" s="12"/>
      <c r="M36" s="12"/>
      <c r="N36" s="12"/>
    </row>
    <row r="37" spans="2:20" ht="327.75" customHeight="1" x14ac:dyDescent="0.2">
      <c r="B37" s="368"/>
      <c r="E37" s="369"/>
      <c r="F37" s="12"/>
      <c r="G37" s="12"/>
      <c r="I37" s="12"/>
      <c r="J37" s="12"/>
      <c r="K37" s="12"/>
      <c r="L37" s="12"/>
      <c r="M37" s="12"/>
      <c r="N37" s="12"/>
    </row>
    <row r="38" spans="2:20" ht="13.5" customHeight="1" x14ac:dyDescent="0.35">
      <c r="B38" s="368"/>
      <c r="E38" s="369"/>
      <c r="F38" s="12"/>
      <c r="G38" s="372"/>
      <c r="I38" s="373"/>
      <c r="J38" s="12"/>
      <c r="K38" s="12"/>
      <c r="L38" s="12"/>
      <c r="M38" s="12"/>
      <c r="N38" s="12"/>
    </row>
    <row r="39" spans="2:20" ht="327.75" customHeight="1" x14ac:dyDescent="0.2">
      <c r="B39" s="368"/>
      <c r="E39" s="369"/>
      <c r="F39" s="12"/>
      <c r="G39" s="12"/>
      <c r="I39" s="373"/>
      <c r="J39" s="12"/>
      <c r="K39" s="12"/>
      <c r="L39" s="12"/>
      <c r="M39" s="12"/>
      <c r="N39" s="12"/>
    </row>
    <row r="40" spans="2:20" x14ac:dyDescent="0.2">
      <c r="B40" s="368"/>
      <c r="E40" s="369"/>
      <c r="F40" s="12"/>
      <c r="G40" s="12"/>
      <c r="I40" s="12"/>
      <c r="J40" s="12"/>
      <c r="K40" s="12"/>
      <c r="L40" s="12"/>
      <c r="M40" s="12"/>
      <c r="N40" s="12"/>
      <c r="O40" s="12"/>
      <c r="P40" s="12"/>
      <c r="Q40" s="14"/>
      <c r="S40" s="374"/>
      <c r="T40" s="374"/>
    </row>
    <row r="41" spans="2:20" ht="327.75" customHeight="1" x14ac:dyDescent="0.2">
      <c r="B41" s="368"/>
      <c r="E41" s="369"/>
      <c r="F41" s="12"/>
      <c r="G41" s="12"/>
      <c r="I41" s="12"/>
      <c r="J41" s="12"/>
      <c r="K41" s="12"/>
      <c r="L41" s="12"/>
      <c r="M41" s="12"/>
      <c r="N41" s="12"/>
      <c r="O41" s="12"/>
      <c r="P41" s="12"/>
      <c r="Q41" s="14"/>
      <c r="S41" s="374"/>
    </row>
    <row r="42" spans="2:20" x14ac:dyDescent="0.2">
      <c r="B42" s="368"/>
      <c r="E42" s="369"/>
      <c r="F42" s="12"/>
      <c r="G42" s="12"/>
      <c r="I42" s="12"/>
      <c r="J42" s="12"/>
      <c r="K42" s="12"/>
      <c r="L42" s="12"/>
      <c r="M42" s="12"/>
      <c r="N42" s="12"/>
      <c r="O42" s="12"/>
      <c r="P42" s="12"/>
      <c r="Q42" s="14"/>
      <c r="S42" s="374"/>
    </row>
    <row r="43" spans="2:20" ht="327.75" customHeight="1" x14ac:dyDescent="0.2">
      <c r="B43" s="368"/>
      <c r="E43" s="369"/>
      <c r="F43" s="12"/>
      <c r="G43" s="12"/>
      <c r="I43" s="12"/>
      <c r="J43" s="12"/>
      <c r="K43" s="12"/>
      <c r="L43" s="12"/>
      <c r="M43" s="12"/>
      <c r="N43" s="12"/>
      <c r="O43" s="12"/>
      <c r="P43" s="12"/>
      <c r="Q43" s="14"/>
      <c r="S43" s="374"/>
    </row>
    <row r="44" spans="2:20" x14ac:dyDescent="0.2">
      <c r="B44" s="368"/>
      <c r="E44" s="369"/>
      <c r="F44" s="12"/>
      <c r="G44" s="12"/>
      <c r="I44" s="12"/>
      <c r="J44" s="12"/>
      <c r="K44" s="12"/>
      <c r="L44" s="12"/>
      <c r="M44" s="12"/>
      <c r="N44" s="12"/>
      <c r="O44" s="12"/>
      <c r="P44" s="12"/>
      <c r="Q44" s="14"/>
      <c r="S44" s="374"/>
    </row>
    <row r="45" spans="2:20" ht="327.75" customHeight="1" x14ac:dyDescent="0.2">
      <c r="B45" s="368"/>
      <c r="E45" s="369"/>
      <c r="F45" s="12"/>
      <c r="G45" s="12"/>
      <c r="I45" s="12"/>
      <c r="J45" s="12"/>
      <c r="K45" s="12"/>
      <c r="L45" s="12"/>
      <c r="M45" s="12"/>
      <c r="N45" s="12"/>
      <c r="O45" s="12"/>
      <c r="P45" s="12"/>
      <c r="Q45" s="14"/>
      <c r="S45" s="374"/>
    </row>
    <row r="46" spans="2:20" x14ac:dyDescent="0.2">
      <c r="B46" s="368"/>
      <c r="E46" s="369"/>
      <c r="F46" s="12"/>
      <c r="G46" s="12"/>
      <c r="I46" s="12"/>
      <c r="J46" s="12"/>
      <c r="K46" s="12"/>
      <c r="L46" s="12"/>
      <c r="M46" s="12"/>
      <c r="N46" s="12"/>
      <c r="O46" s="12"/>
      <c r="P46" s="12"/>
      <c r="Q46" s="14"/>
      <c r="S46" s="374"/>
    </row>
    <row r="47" spans="2:20" ht="327.75" customHeight="1" x14ac:dyDescent="0.2">
      <c r="B47" s="368"/>
      <c r="E47" s="369"/>
      <c r="F47" s="12"/>
      <c r="G47" s="12"/>
      <c r="I47" s="12"/>
      <c r="J47" s="12"/>
      <c r="K47" s="12"/>
      <c r="L47" s="12"/>
      <c r="M47" s="12"/>
      <c r="N47" s="12"/>
      <c r="O47" s="12"/>
      <c r="P47" s="12"/>
      <c r="Q47" s="14"/>
      <c r="S47" s="375"/>
    </row>
    <row r="48" spans="2:20" x14ac:dyDescent="0.2">
      <c r="B48" s="368"/>
      <c r="E48" s="369"/>
      <c r="F48" s="12"/>
      <c r="G48" s="12"/>
      <c r="I48" s="12"/>
      <c r="J48" s="12"/>
      <c r="K48" s="12"/>
      <c r="L48" s="12"/>
      <c r="M48" s="12"/>
      <c r="N48" s="12"/>
      <c r="O48" s="12"/>
      <c r="P48" s="12"/>
      <c r="Q48" s="14"/>
      <c r="S48" s="374"/>
    </row>
    <row r="49" spans="2:19" ht="327.75" customHeight="1" x14ac:dyDescent="0.2">
      <c r="B49" s="368"/>
      <c r="E49" s="369"/>
      <c r="F49" s="12"/>
      <c r="G49" s="12"/>
      <c r="I49" s="12"/>
      <c r="J49" s="12"/>
      <c r="K49" s="12"/>
      <c r="L49" s="12"/>
      <c r="M49" s="12"/>
      <c r="N49" s="12"/>
      <c r="O49" s="12"/>
      <c r="P49" s="12"/>
      <c r="Q49" s="14"/>
      <c r="S49" s="374"/>
    </row>
    <row r="50" spans="2:19" x14ac:dyDescent="0.2">
      <c r="B50" s="368"/>
      <c r="E50" s="369"/>
      <c r="F50" s="12"/>
      <c r="G50" s="12"/>
      <c r="I50" s="12"/>
      <c r="J50" s="12"/>
      <c r="K50" s="12"/>
      <c r="L50" s="12"/>
      <c r="M50" s="12"/>
      <c r="N50" s="12"/>
      <c r="O50" s="12"/>
      <c r="P50" s="12"/>
      <c r="Q50" s="14"/>
      <c r="S50" s="374"/>
    </row>
    <row r="51" spans="2:19" x14ac:dyDescent="0.2">
      <c r="B51" s="368"/>
      <c r="E51" s="369"/>
      <c r="F51" s="12"/>
      <c r="G51" s="12"/>
      <c r="I51" s="12"/>
      <c r="J51" s="12"/>
      <c r="K51" s="12"/>
      <c r="L51" s="12"/>
      <c r="M51" s="12"/>
      <c r="N51" s="12"/>
      <c r="O51" s="12"/>
      <c r="P51" s="12"/>
      <c r="Q51" s="14"/>
      <c r="S51" s="374"/>
    </row>
    <row r="52" spans="2:19" x14ac:dyDescent="0.2">
      <c r="B52" s="368"/>
      <c r="E52" s="369"/>
      <c r="F52" s="12"/>
      <c r="G52" s="12"/>
      <c r="I52" s="12"/>
      <c r="J52" s="12"/>
      <c r="K52" s="12"/>
      <c r="L52" s="12"/>
      <c r="M52" s="12"/>
      <c r="N52" s="12"/>
      <c r="O52" s="12"/>
      <c r="P52" s="12"/>
      <c r="Q52" s="14"/>
      <c r="S52" s="374"/>
    </row>
    <row r="53" spans="2:19" x14ac:dyDescent="0.2">
      <c r="B53" s="368"/>
      <c r="E53" s="369"/>
      <c r="F53" s="12"/>
      <c r="G53" s="12"/>
      <c r="I53" s="12"/>
      <c r="J53" s="12"/>
      <c r="K53" s="12"/>
      <c r="L53" s="12"/>
      <c r="M53" s="12"/>
      <c r="N53" s="12"/>
    </row>
    <row r="54" spans="2:19" x14ac:dyDescent="0.2">
      <c r="B54" s="368"/>
      <c r="E54" s="369"/>
      <c r="F54" s="12"/>
      <c r="G54" s="12"/>
      <c r="I54" s="12"/>
      <c r="J54" s="12"/>
      <c r="K54" s="12"/>
      <c r="L54" s="12"/>
      <c r="M54" s="12"/>
      <c r="N54" s="12"/>
    </row>
    <row r="55" spans="2:19" x14ac:dyDescent="0.2">
      <c r="B55" s="368"/>
      <c r="E55" s="369"/>
      <c r="F55" s="12"/>
      <c r="G55" s="12"/>
      <c r="I55" s="12"/>
      <c r="J55" s="12"/>
      <c r="K55" s="12"/>
      <c r="L55" s="12"/>
      <c r="M55" s="12"/>
      <c r="N55" s="12"/>
      <c r="R55" s="15"/>
    </row>
    <row r="56" spans="2:19" x14ac:dyDescent="0.2">
      <c r="B56" s="368"/>
      <c r="E56" s="369"/>
      <c r="F56" s="12"/>
      <c r="G56" s="12"/>
      <c r="I56" s="12"/>
      <c r="J56" s="12"/>
      <c r="K56" s="12"/>
      <c r="L56" s="12"/>
      <c r="M56" s="12"/>
      <c r="N56" s="12"/>
    </row>
    <row r="57" spans="2:19" x14ac:dyDescent="0.2">
      <c r="B57" s="368"/>
      <c r="E57" s="369"/>
      <c r="F57" s="12"/>
      <c r="G57" s="12"/>
      <c r="I57" s="12"/>
      <c r="J57" s="12"/>
      <c r="K57" s="12"/>
      <c r="L57" s="12"/>
      <c r="M57" s="12"/>
      <c r="N57" s="12"/>
    </row>
    <row r="58" spans="2:19" x14ac:dyDescent="0.2">
      <c r="E58" s="13"/>
      <c r="F58" s="12"/>
      <c r="G58" s="12"/>
      <c r="I58" s="12"/>
      <c r="J58" s="12"/>
      <c r="K58" s="12"/>
      <c r="L58" s="12"/>
      <c r="M58" s="12"/>
      <c r="N58" s="12"/>
    </row>
    <row r="59" spans="2:19" x14ac:dyDescent="0.2">
      <c r="E59" s="13"/>
      <c r="F59" s="12"/>
      <c r="G59" s="12"/>
      <c r="I59" s="12"/>
      <c r="J59" s="12"/>
      <c r="K59" s="12"/>
      <c r="L59" s="12"/>
      <c r="M59" s="12"/>
      <c r="N59" s="12"/>
    </row>
    <row r="60" spans="2:19" x14ac:dyDescent="0.2">
      <c r="E60" s="13"/>
      <c r="F60" s="12"/>
      <c r="G60" s="12"/>
      <c r="I60" s="12"/>
      <c r="J60" s="12"/>
      <c r="K60" s="12"/>
      <c r="L60" s="12"/>
      <c r="M60" s="12"/>
      <c r="N60" s="12"/>
    </row>
    <row r="61" spans="2:19" x14ac:dyDescent="0.2">
      <c r="E61" s="13"/>
      <c r="F61" s="12"/>
      <c r="G61" s="12"/>
      <c r="I61" s="12"/>
      <c r="J61" s="12"/>
      <c r="K61" s="12"/>
      <c r="L61" s="12"/>
      <c r="M61" s="12"/>
      <c r="N61" s="12"/>
    </row>
    <row r="62" spans="2:19" x14ac:dyDescent="0.2">
      <c r="E62" s="13"/>
      <c r="F62" s="12"/>
      <c r="G62" s="12"/>
      <c r="I62" s="12"/>
      <c r="J62" s="12"/>
      <c r="K62" s="12"/>
      <c r="L62" s="12"/>
      <c r="M62" s="12"/>
      <c r="N62" s="12"/>
    </row>
    <row r="63" spans="2:19" x14ac:dyDescent="0.2">
      <c r="E63" s="13"/>
      <c r="F63" s="12"/>
      <c r="G63" s="12"/>
      <c r="I63" s="12"/>
      <c r="J63" s="12"/>
      <c r="K63" s="12"/>
      <c r="L63" s="12"/>
      <c r="M63" s="12"/>
      <c r="N63" s="12"/>
    </row>
    <row r="64" spans="2:19" x14ac:dyDescent="0.2">
      <c r="E64" s="13"/>
      <c r="F64" s="12"/>
      <c r="G64" s="12"/>
      <c r="I64" s="12"/>
      <c r="J64" s="12"/>
      <c r="K64" s="12"/>
      <c r="L64" s="12"/>
      <c r="M64" s="12"/>
      <c r="N64" s="12"/>
    </row>
    <row r="65" spans="5:18" x14ac:dyDescent="0.2">
      <c r="E65" s="13"/>
      <c r="F65" s="12"/>
      <c r="G65" s="12"/>
      <c r="I65" s="12"/>
      <c r="J65" s="12"/>
      <c r="K65" s="12"/>
      <c r="L65" s="12"/>
      <c r="M65" s="12"/>
      <c r="N65" s="12"/>
    </row>
    <row r="66" spans="5:18" x14ac:dyDescent="0.2">
      <c r="E66" s="13"/>
      <c r="F66" s="12"/>
      <c r="G66" s="12"/>
      <c r="I66" s="12"/>
      <c r="J66" s="12"/>
      <c r="K66" s="12"/>
      <c r="L66" s="12"/>
      <c r="M66" s="12"/>
      <c r="N66" s="12"/>
      <c r="R66" s="15"/>
    </row>
    <row r="67" spans="5:18" x14ac:dyDescent="0.2">
      <c r="E67" s="13"/>
      <c r="F67" s="12"/>
      <c r="G67" s="12"/>
      <c r="I67" s="12"/>
      <c r="J67" s="12"/>
      <c r="K67" s="12"/>
      <c r="L67" s="12"/>
      <c r="M67" s="12"/>
      <c r="N67" s="12"/>
    </row>
  </sheetData>
  <phoneticPr fontId="82" type="noConversion"/>
  <conditionalFormatting sqref="O6">
    <cfRule type="cellIs" dxfId="0" priority="1" stopIfTrue="1" operator="equal">
      <formula>"n"</formula>
    </cfRule>
  </conditionalFormatting>
  <pageMargins left="0.75" right="0.75" top="1" bottom="1" header="0.5" footer="0.5"/>
  <pageSetup scale="83" orientation="portrait"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2:K159"/>
  <sheetViews>
    <sheetView workbookViewId="0">
      <selection activeCell="I10" sqref="I10"/>
    </sheetView>
  </sheetViews>
  <sheetFormatPr defaultRowHeight="12.75" x14ac:dyDescent="0.2"/>
  <cols>
    <col min="1" max="1" width="17.28515625" customWidth="1"/>
    <col min="2" max="2" width="12" bestFit="1" customWidth="1"/>
    <col min="8" max="8" width="12.140625" customWidth="1"/>
    <col min="9" max="9" width="12.42578125" bestFit="1" customWidth="1"/>
    <col min="10" max="10" width="15.42578125" customWidth="1"/>
  </cols>
  <sheetData>
    <row r="2" spans="1:11" x14ac:dyDescent="0.2">
      <c r="A2" t="s">
        <v>68</v>
      </c>
      <c r="B2" t="s">
        <v>66</v>
      </c>
      <c r="C2" t="s">
        <v>14</v>
      </c>
      <c r="D2" t="s">
        <v>28</v>
      </c>
      <c r="E2" t="s">
        <v>75</v>
      </c>
    </row>
    <row r="3" spans="1:11" x14ac:dyDescent="0.2">
      <c r="A3" t="s">
        <v>71</v>
      </c>
      <c r="B3">
        <f>Css</f>
        <v>2.0833333333333335E-8</v>
      </c>
      <c r="C3">
        <f>Cout</f>
        <v>47</v>
      </c>
      <c r="D3">
        <f>Cin</f>
        <v>47</v>
      </c>
      <c r="E3">
        <f>Cb</f>
        <v>0</v>
      </c>
      <c r="H3" t="s">
        <v>73</v>
      </c>
      <c r="I3" t="s">
        <v>74</v>
      </c>
      <c r="J3" s="4" t="s">
        <v>70</v>
      </c>
    </row>
    <row r="4" spans="1:11" x14ac:dyDescent="0.2">
      <c r="A4" s="7" t="s">
        <v>70</v>
      </c>
      <c r="B4" s="7">
        <f>SUM(B6:B158)/1000000000000</f>
        <v>2.1999999999999998E-8</v>
      </c>
      <c r="C4" s="7">
        <f>SUM(C6:C158)/1000000000000</f>
        <v>0</v>
      </c>
      <c r="D4" s="7">
        <f>SUM(D6:D158)/1000000000000</f>
        <v>0</v>
      </c>
      <c r="E4" s="7">
        <f t="shared" ref="E4" si="0">IF(E3="OPEN","OPEN",SUM(E6:E158)/1000000000000)</f>
        <v>0</v>
      </c>
      <c r="H4" s="78" t="s">
        <v>139</v>
      </c>
      <c r="I4" t="e">
        <f>Rt</f>
        <v>#NAME?</v>
      </c>
      <c r="J4" s="4" t="e">
        <f t="shared" ref="J4:J9" si="1">IF(I4&gt;(INT(0.5+100*POWER(10,IF(96*(LOG(I4)-INT(LOG(I4)))-ROUND(96*(LOG(I4)-INT(LOG(I4))),0)&lt;0,ROUND(96*(LOG(I4)-INT(LOG(I4))),0)-1,ROUND(96*(LOG(I4)-INT(LOG(I4))),0))/96))*POWER(10,INT(LOG(I4))-2)+INT(0.5+100*POWER(10,(IF(96*(LOG(I4)-INT(LOG(I4)))-ROUND(96*(LOG(I4)-INT(LOG(I4))),0)&lt;0,ROUND(96*(LOG(I4)-INT(LOG(I4))),0)-1,ROUND(96*(LOG(I4)-INT(LOG(I4))),0))+1)/96))*POWER(10,INT(LOG(I4))-2))/2,INT(0.5+100*POWER(10,(IF(96*(LOG(I4)-INT(LOG(I4)))-ROUND(96*(LOG(I4)-INT(LOG(I4))),0)&lt;0,ROUND(96*(LOG(I4)-INT(LOG(I4))),0)-1,ROUND(96*(LOG(I4)-INT(LOG(I4))),0))+1)/96))*POWER(10,INT(LOG(I4))-2),INT(0.5+100*POWER(10,IF(96*(LOG(I4)-INT(LOG(I4)))-ROUND(96*(LOG(I4)-INT(LOG(I4))),0)&lt;0,ROUND(96*(LOG(I4)-INT(LOG(I4))),0)-1,ROUND(96*(LOG(I4)-INT(LOG(I4))),0))/96))*POWER(10,INT(LOG(I4))-2))</f>
        <v>#NAME?</v>
      </c>
      <c r="K4" s="18" t="s">
        <v>136</v>
      </c>
    </row>
    <row r="5" spans="1:11" x14ac:dyDescent="0.2">
      <c r="A5" t="s">
        <v>69</v>
      </c>
      <c r="J5" s="4"/>
      <c r="K5" s="18"/>
    </row>
    <row r="6" spans="1:11" x14ac:dyDescent="0.2">
      <c r="A6">
        <v>0.47</v>
      </c>
      <c r="B6">
        <f t="shared" ref="B6:E6" si="2">IF(IF((B$3*10^12-$A7)*(B$3*10^12-$A6)*-1&lt;0,0,1)*IF(ABS(B$3*10^12-$A7)&gt;(B$3*10^12-$A6),$A6,$A7)=B7,0,IF((B$3*10^12-$A7)*(B$3*10^12-$A6)*-1&lt;0,0,1)*IF(ABS(B$3*10^12-$A7)&gt;(B$3*10^12-$A6),$A6,$A7))</f>
        <v>0</v>
      </c>
      <c r="C6">
        <f t="shared" si="2"/>
        <v>0</v>
      </c>
      <c r="D6">
        <f t="shared" si="2"/>
        <v>0</v>
      </c>
      <c r="E6">
        <f t="shared" si="2"/>
        <v>0</v>
      </c>
      <c r="H6" s="78" t="s">
        <v>163</v>
      </c>
      <c r="I6" t="e">
        <f>Rshunt</f>
        <v>#NAME?</v>
      </c>
      <c r="J6" s="4" t="e">
        <f t="shared" si="1"/>
        <v>#NAME?</v>
      </c>
      <c r="K6" s="18" t="s">
        <v>136</v>
      </c>
    </row>
    <row r="7" spans="1:11" x14ac:dyDescent="0.2">
      <c r="A7">
        <v>0.56000000000000005</v>
      </c>
      <c r="B7">
        <f t="shared" ref="B7:B70" si="3">IF(IF((B$3*10^12-$A8)*(B$3*10^12-$A7)*-1&lt;0,0,1)*IF(ABS(B$3*10^12-$A8)&gt;(B$3*10^12-$A7),$A7,$A8)=B8,0,IF((B$3*10^12-$A8)*(B$3*10^12-$A7)*-1&lt;0,0,1)*IF(ABS(B$3*10^12-$A8)&gt;(B$3*10^12-$A7),$A7,$A8))</f>
        <v>0</v>
      </c>
      <c r="C7">
        <f t="shared" ref="C7:C69" si="4">IF(IF((C$3*10^12-$A8)*(C$3*10^12-$A7)*-1&lt;0,0,1)*IF(ABS(C$3*10^12-$A8)&gt;(C$3*10^12-$A7),$A7,$A8)=C8,0,IF((C$3*10^12-$A8)*(C$3*10^12-$A7)*-1&lt;0,0,1)*IF(ABS(C$3*10^12-$A8)&gt;(C$3*10^12-$A7),$A7,$A8))</f>
        <v>0</v>
      </c>
      <c r="D7">
        <f t="shared" ref="D7:D69" si="5">IF(IF((D$3*10^12-$A8)*(D$3*10^12-$A7)*-1&lt;0,0,1)*IF(ABS(D$3*10^12-$A8)&gt;(D$3*10^12-$A7),$A7,$A8)=D8,0,IF((D$3*10^12-$A8)*(D$3*10^12-$A7)*-1&lt;0,0,1)*IF(ABS(D$3*10^12-$A8)&gt;(D$3*10^12-$A7),$A7,$A8))</f>
        <v>0</v>
      </c>
      <c r="E7">
        <f t="shared" ref="E7:E37" si="6">IF(IF((E$3*10^12-$A8)*(E$3*10^12-$A7)*-1&lt;0,0,1)*IF(ABS(E$3*10^12-$A8)&gt;(E$3*10^12-$A7),$A7,$A8)=E8,0,IF((E$3*10^12-$A8)*(E$3*10^12-$A7)*-1&lt;0,0,1)*IF(ABS(E$3*10^12-$A8)&gt;(E$3*10^12-$A7),$A7,$A8))</f>
        <v>0</v>
      </c>
      <c r="H7" t="s">
        <v>79</v>
      </c>
      <c r="I7" t="e">
        <f>Rcea1</f>
        <v>#NAME?</v>
      </c>
      <c r="J7" s="4" t="e">
        <f t="shared" si="1"/>
        <v>#NAME?</v>
      </c>
      <c r="K7" s="18" t="s">
        <v>136</v>
      </c>
    </row>
    <row r="8" spans="1:11" x14ac:dyDescent="0.2">
      <c r="A8">
        <v>0.68</v>
      </c>
      <c r="B8">
        <f t="shared" si="3"/>
        <v>0</v>
      </c>
      <c r="C8">
        <f t="shared" si="4"/>
        <v>0</v>
      </c>
      <c r="D8">
        <f t="shared" si="5"/>
        <v>0</v>
      </c>
      <c r="E8">
        <f t="shared" si="6"/>
        <v>0</v>
      </c>
      <c r="J8" s="4"/>
      <c r="K8" s="18"/>
    </row>
    <row r="9" spans="1:11" x14ac:dyDescent="0.2">
      <c r="A9">
        <v>0.82</v>
      </c>
      <c r="B9">
        <f t="shared" si="3"/>
        <v>0</v>
      </c>
      <c r="C9">
        <f t="shared" si="4"/>
        <v>0</v>
      </c>
      <c r="D9">
        <f t="shared" si="5"/>
        <v>0</v>
      </c>
      <c r="E9">
        <f t="shared" si="6"/>
        <v>0</v>
      </c>
      <c r="H9" t="s">
        <v>389</v>
      </c>
      <c r="I9">
        <f>RTC_1</f>
        <v>1143750</v>
      </c>
      <c r="J9" s="4">
        <f t="shared" si="1"/>
        <v>1150000</v>
      </c>
      <c r="K9" s="18" t="s">
        <v>136</v>
      </c>
    </row>
    <row r="10" spans="1:11" x14ac:dyDescent="0.2">
      <c r="A10">
        <v>1</v>
      </c>
      <c r="B10">
        <f t="shared" si="3"/>
        <v>0</v>
      </c>
      <c r="C10">
        <f t="shared" si="4"/>
        <v>0</v>
      </c>
      <c r="D10">
        <f t="shared" si="5"/>
        <v>0</v>
      </c>
      <c r="E10">
        <f t="shared" si="6"/>
        <v>0</v>
      </c>
      <c r="H10" t="s">
        <v>17</v>
      </c>
      <c r="I10">
        <f>Rfb</f>
        <v>457500</v>
      </c>
      <c r="J10" s="4">
        <f>IF(I10="OPEN","OPEN",IF(I10&gt;(INT(0.5+100*POWER(10,IF(96*(LOG(I10)-INT(LOG(I10)))-ROUND(96*(LOG(I10)-INT(LOG(I10))),0)&lt;0,ROUND(96*(LOG(I10)-INT(LOG(I10))),0)-1,ROUND(96*(LOG(I10)-INT(LOG(I10))),0))/96))*POWER(10,INT(LOG(I10))-2)+INT(0.5+100*POWER(10,(IF(96*(LOG(I10)-INT(LOG(I10)))-ROUND(96*(LOG(I10)-INT(LOG(I10))),0)&lt;0,ROUND(96*(LOG(I10)-INT(LOG(I10))),0)-1,ROUND(96*(LOG(I10)-INT(LOG(I10))),0))+1)/96))*POWER(10,INT(LOG(I10))-2))/2,INT(0.5+100*POWER(10,(IF(96*(LOG(I10)-INT(LOG(I10)))-ROUND(96*(LOG(I10)-INT(LOG(I10))),0)&lt;0,ROUND(96*(LOG(I10)-INT(LOG(I10))),0)-1,ROUND(96*(LOG(I10)-INT(LOG(I10))),0))+1)/96))*POWER(10,INT(LOG(I10))-2),INT(0.5+100*POWER(10,IF(96*(LOG(I10)-INT(LOG(I10)))-ROUND(96*(LOG(I10)-INT(LOG(I10))),0)&lt;0,ROUND(96*(LOG(I10)-INT(LOG(I10))),0)-1,ROUND(96*(LOG(I10)-INT(LOG(I10))),0))/96))*POWER(10,INT(LOG(I10))-2)))</f>
        <v>453000</v>
      </c>
      <c r="K10" s="18" t="s">
        <v>136</v>
      </c>
    </row>
    <row r="11" spans="1:11" x14ac:dyDescent="0.2">
      <c r="A11">
        <v>1.2</v>
      </c>
      <c r="B11">
        <f t="shared" si="3"/>
        <v>0</v>
      </c>
      <c r="C11">
        <f t="shared" si="4"/>
        <v>0</v>
      </c>
      <c r="D11">
        <f t="shared" si="5"/>
        <v>0</v>
      </c>
      <c r="E11">
        <f t="shared" si="6"/>
        <v>0</v>
      </c>
      <c r="J11" s="4"/>
    </row>
    <row r="12" spans="1:11" x14ac:dyDescent="0.2">
      <c r="A12">
        <v>1.5</v>
      </c>
      <c r="B12">
        <f t="shared" si="3"/>
        <v>0</v>
      </c>
      <c r="C12">
        <f t="shared" si="4"/>
        <v>0</v>
      </c>
      <c r="D12">
        <f t="shared" si="5"/>
        <v>0</v>
      </c>
      <c r="E12">
        <f t="shared" si="6"/>
        <v>0</v>
      </c>
      <c r="J12" s="4"/>
    </row>
    <row r="13" spans="1:11" x14ac:dyDescent="0.2">
      <c r="A13">
        <v>1.8</v>
      </c>
      <c r="B13">
        <f t="shared" si="3"/>
        <v>0</v>
      </c>
      <c r="C13">
        <f t="shared" si="4"/>
        <v>0</v>
      </c>
      <c r="D13">
        <f t="shared" si="5"/>
        <v>0</v>
      </c>
      <c r="E13">
        <f t="shared" si="6"/>
        <v>0</v>
      </c>
      <c r="H13" s="78" t="s">
        <v>76</v>
      </c>
      <c r="I13" t="e">
        <f>Rs_ideal*1000</f>
        <v>#NAME?</v>
      </c>
      <c r="J13" s="4" t="e">
        <f>IF(I13=0,0,IF(I13&gt;(INT(0.5+100*POWER(10,IF(96*(LOG(I13)-INT(LOG(I13)))-ROUND(96*(LOG(I13)-INT(LOG(I13))),0)&lt;0,ROUND(96*(LOG(I13)-INT(LOG(I13))),0)-1,ROUND(96*(LOG(I13)-INT(LOG(I13))),0))/96))*POWER(10,INT(LOG(I13))-2)+INT(0.5+100*POWER(10,(IF(96*(LOG(I13)-INT(LOG(I13)))-ROUND(96*(LOG(I13)-INT(LOG(I13))),0)&lt;0,ROUND(96*(LOG(I13)-INT(LOG(I13))),0)-1,ROUND(96*(LOG(I13)-INT(LOG(I13))),0))+1)/96))*POWER(10,INT(LOG(I13))-2))/2,INT(0.5+100*POWER(10,(IF(96*(LOG(I13)-INT(LOG(I13)))-ROUND(96*(LOG(I13)-INT(LOG(I13))),0)&lt;0,ROUND(96*(LOG(I13)-INT(LOG(I13))),0)-1,ROUND(96*(LOG(I13)-INT(LOG(I13))),0))+1)/96))*POWER(10,INT(LOG(I13))-2),INT(0.5+100*POWER(10,IF(96*(LOG(I13)-INT(LOG(I13)))-ROUND(96*(LOG(I13)-INT(LOG(I13))),0)&lt;0,ROUND(96*(LOG(I13)-INT(LOG(I13))),0)-1,ROUND(96*(LOG(I13)-INT(LOG(I13))),0))/96))*POWER(10,INT(LOG(I13))-2)))</f>
        <v>#NAME?</v>
      </c>
      <c r="K13" s="18" t="s">
        <v>162</v>
      </c>
    </row>
    <row r="14" spans="1:11" x14ac:dyDescent="0.2">
      <c r="A14">
        <v>2.2000000000000002</v>
      </c>
      <c r="B14">
        <f t="shared" ref="B14:E14" si="7">IF(IF((B$3*10^12-$A15)*(B$3*10^12-$A14)*-1&lt;0,0,1)*IF(ABS(B$3*10^12-$A15)&gt;(B$3*10^12-$A14),$A14,$A15)=B15,0,IF((B$3*10^12-$A15)*(B$3*10^12-$A14)*-1&lt;0,0,1)*IF(ABS(B$3*10^12-$A15)&gt;(B$3*10^12-$A14),$A14,$A15))</f>
        <v>0</v>
      </c>
      <c r="C14">
        <f t="shared" si="7"/>
        <v>0</v>
      </c>
      <c r="D14">
        <f t="shared" si="7"/>
        <v>0</v>
      </c>
      <c r="E14">
        <f t="shared" si="7"/>
        <v>0</v>
      </c>
      <c r="H14" s="78" t="s">
        <v>161</v>
      </c>
      <c r="I14" t="e">
        <f>Cslope_ideal</f>
        <v>#NAME?</v>
      </c>
      <c r="J14" t="e">
        <f>#REF!*1000000000000</f>
        <v>#REF!</v>
      </c>
      <c r="K14" s="78" t="s">
        <v>15</v>
      </c>
    </row>
    <row r="15" spans="1:11" x14ac:dyDescent="0.2">
      <c r="A15">
        <v>2.7</v>
      </c>
      <c r="B15">
        <f t="shared" si="3"/>
        <v>0</v>
      </c>
      <c r="C15">
        <f t="shared" si="4"/>
        <v>0</v>
      </c>
      <c r="D15">
        <f t="shared" si="5"/>
        <v>0</v>
      </c>
      <c r="E15">
        <f t="shared" si="6"/>
        <v>0</v>
      </c>
    </row>
    <row r="16" spans="1:11" x14ac:dyDescent="0.2">
      <c r="A16">
        <v>3.3</v>
      </c>
      <c r="B16">
        <f t="shared" si="3"/>
        <v>0</v>
      </c>
      <c r="C16">
        <f t="shared" si="4"/>
        <v>0</v>
      </c>
      <c r="D16">
        <f t="shared" si="5"/>
        <v>0</v>
      </c>
      <c r="E16">
        <f t="shared" si="6"/>
        <v>0</v>
      </c>
      <c r="H16" s="78" t="s">
        <v>130</v>
      </c>
      <c r="I16">
        <f>Ruvlo1</f>
        <v>56.666666666666465</v>
      </c>
      <c r="J16" s="4">
        <f>IF(I16="OPEN","OPEN",IF(I16&gt;(INT(0.5+100*POWER(10,IF(96*(LOG(I16)-INT(LOG(I16)))-ROUND(96*(LOG(I16)-INT(LOG(I16))),0)&lt;0,ROUND(96*(LOG(I16)-INT(LOG(I16))),0)-1,ROUND(96*(LOG(I16)-INT(LOG(I16))),0))/96))*POWER(10,INT(LOG(I16))-2)+INT(0.5+100*POWER(10,(IF(96*(LOG(I16)-INT(LOG(I16)))-ROUND(96*(LOG(I16)-INT(LOG(I16))),0)&lt;0,ROUND(96*(LOG(I16)-INT(LOG(I16))),0)-1,ROUND(96*(LOG(I16)-INT(LOG(I16))),0))+1)/96))*POWER(10,INT(LOG(I16))-2))/2,INT(0.5+100*POWER(10,(IF(96*(LOG(I16)-INT(LOG(I16)))-ROUND(96*(LOG(I16)-INT(LOG(I16))),0)&lt;0,ROUND(96*(LOG(I16)-INT(LOG(I16))),0)-1,ROUND(96*(LOG(I16)-INT(LOG(I16))),0))+1)/96))*POWER(10,INT(LOG(I16))-2),INT(0.5+100*POWER(10,IF(96*(LOG(I16)-INT(LOG(I16)))-ROUND(96*(LOG(I16)-INT(LOG(I16))),0)&lt;0,ROUND(96*(LOG(I16)-INT(LOG(I16))),0)-1,ROUND(96*(LOG(I16)-INT(LOG(I16))),0))/96))*POWER(10,INT(LOG(I16))-2)))</f>
        <v>56.2</v>
      </c>
      <c r="K16" s="18" t="s">
        <v>113</v>
      </c>
    </row>
    <row r="17" spans="1:11" x14ac:dyDescent="0.2">
      <c r="A17">
        <v>3.9</v>
      </c>
      <c r="B17">
        <f t="shared" si="3"/>
        <v>0</v>
      </c>
      <c r="C17">
        <f t="shared" si="4"/>
        <v>0</v>
      </c>
      <c r="D17">
        <f t="shared" si="5"/>
        <v>0</v>
      </c>
      <c r="E17">
        <f t="shared" si="6"/>
        <v>0</v>
      </c>
      <c r="H17" s="78" t="s">
        <v>131</v>
      </c>
      <c r="I17" s="181">
        <f>Ruvlo2</f>
        <v>16.860000000000003</v>
      </c>
      <c r="J17" s="4">
        <f>IF(I17="OPEN","OPEN",IF(I17&gt;(INT(0.5+100*POWER(10,IF(96*(LOG(I17)-INT(LOG(I17)))-ROUND(96*(LOG(I17)-INT(LOG(I17))),0)&lt;0,ROUND(96*(LOG(I17)-INT(LOG(I17))),0)-1,ROUND(96*(LOG(I17)-INT(LOG(I17))),0))/96))*POWER(10,INT(LOG(I17))-2)+INT(0.5+100*POWER(10,(IF(96*(LOG(I17)-INT(LOG(I17)))-ROUND(96*(LOG(I17)-INT(LOG(I17))),0)&lt;0,ROUND(96*(LOG(I17)-INT(LOG(I17))),0)-1,ROUND(96*(LOG(I17)-INT(LOG(I17))),0))+1)/96))*POWER(10,INT(LOG(I17))-2))/2,INT(0.5+100*POWER(10,(IF(96*(LOG(I17)-INT(LOG(I17)))-ROUND(96*(LOG(I17)-INT(LOG(I17))),0)&lt;0,ROUND(96*(LOG(I17)-INT(LOG(I17))),0)-1,ROUND(96*(LOG(I17)-INT(LOG(I17))),0))+1)/96))*POWER(10,INT(LOG(I17))-2),INT(0.5+100*POWER(10,IF(96*(LOG(I17)-INT(LOG(I17)))-ROUND(96*(LOG(I17)-INT(LOG(I17))),0)&lt;0,ROUND(96*(LOG(I17)-INT(LOG(I17))),0)-1,ROUND(96*(LOG(I17)-INT(LOG(I17))),0))/96))*POWER(10,INT(LOG(I17))-2)))</f>
        <v>16.900000000000002</v>
      </c>
      <c r="K17" s="18" t="s">
        <v>113</v>
      </c>
    </row>
    <row r="18" spans="1:11" x14ac:dyDescent="0.2">
      <c r="A18">
        <v>4.7</v>
      </c>
      <c r="B18">
        <f t="shared" si="3"/>
        <v>0</v>
      </c>
      <c r="C18">
        <f t="shared" si="4"/>
        <v>0</v>
      </c>
      <c r="D18">
        <f t="shared" si="5"/>
        <v>0</v>
      </c>
      <c r="E18">
        <f t="shared" si="6"/>
        <v>0</v>
      </c>
      <c r="H18" s="78" t="s">
        <v>297</v>
      </c>
      <c r="I18" s="181" t="e">
        <f>Rhys</f>
        <v>#NAME?</v>
      </c>
      <c r="J18" s="4" t="e">
        <f>IF(I18="OPEN","OPEN",IF(I18&gt;(INT(0.5+100*POWER(10,IF(96*(LOG(I18)-INT(LOG(I18)))-ROUND(96*(LOG(I18)-INT(LOG(I18))),0)&lt;0,ROUND(96*(LOG(I18)-INT(LOG(I18))),0)-1,ROUND(96*(LOG(I18)-INT(LOG(I18))),0))/96))*POWER(10,INT(LOG(I18))-2)+INT(0.5+100*POWER(10,(IF(96*(LOG(I18)-INT(LOG(I18)))-ROUND(96*(LOG(I18)-INT(LOG(I18))),0)&lt;0,ROUND(96*(LOG(I18)-INT(LOG(I18))),0)-1,ROUND(96*(LOG(I18)-INT(LOG(I18))),0))+1)/96))*POWER(10,INT(LOG(I18))-2))/2,INT(0.5+100*POWER(10,(IF(96*(LOG(I18)-INT(LOG(I18)))-ROUND(96*(LOG(I18)-INT(LOG(I18))),0)&lt;0,ROUND(96*(LOG(I18)-INT(LOG(I18))),0)-1,ROUND(96*(LOG(I18)-INT(LOG(I18))),0))+1)/96))*POWER(10,INT(LOG(I18))-2),INT(0.5+100*POWER(10,IF(96*(LOG(I18)-INT(LOG(I18)))-ROUND(96*(LOG(I18)-INT(LOG(I18))),0)&lt;0,ROUND(96*(LOG(I18)-INT(LOG(I18))),0)-1,ROUND(96*(LOG(I18)-INT(LOG(I18))),0))/96))*POWER(10,INT(LOG(I18))-2)))</f>
        <v>#NAME?</v>
      </c>
      <c r="K18" s="18" t="s">
        <v>113</v>
      </c>
    </row>
    <row r="19" spans="1:11" x14ac:dyDescent="0.2">
      <c r="A19">
        <v>5.6</v>
      </c>
      <c r="B19">
        <f t="shared" si="3"/>
        <v>0</v>
      </c>
      <c r="C19">
        <f t="shared" si="4"/>
        <v>0</v>
      </c>
      <c r="D19">
        <f t="shared" si="5"/>
        <v>0</v>
      </c>
      <c r="E19">
        <f t="shared" si="6"/>
        <v>0</v>
      </c>
    </row>
    <row r="20" spans="1:11" x14ac:dyDescent="0.2">
      <c r="A20">
        <v>6.8</v>
      </c>
      <c r="B20">
        <f t="shared" si="3"/>
        <v>0</v>
      </c>
      <c r="C20">
        <f t="shared" si="4"/>
        <v>0</v>
      </c>
      <c r="D20">
        <f t="shared" si="5"/>
        <v>0</v>
      </c>
      <c r="E20">
        <f t="shared" si="6"/>
        <v>0</v>
      </c>
      <c r="H20" s="78"/>
      <c r="J20" s="4"/>
    </row>
    <row r="21" spans="1:11" x14ac:dyDescent="0.2">
      <c r="A21">
        <v>8.1999999999999993</v>
      </c>
      <c r="B21">
        <f t="shared" si="3"/>
        <v>0</v>
      </c>
      <c r="C21">
        <f t="shared" si="4"/>
        <v>0</v>
      </c>
      <c r="D21">
        <f t="shared" si="5"/>
        <v>0</v>
      </c>
      <c r="E21">
        <f t="shared" si="6"/>
        <v>0</v>
      </c>
      <c r="J21" s="4"/>
    </row>
    <row r="22" spans="1:11" x14ac:dyDescent="0.2">
      <c r="A22">
        <v>10</v>
      </c>
      <c r="B22">
        <f t="shared" si="3"/>
        <v>0</v>
      </c>
      <c r="C22">
        <f t="shared" si="4"/>
        <v>0</v>
      </c>
      <c r="D22">
        <f t="shared" si="5"/>
        <v>0</v>
      </c>
      <c r="E22">
        <f t="shared" si="6"/>
        <v>0</v>
      </c>
      <c r="H22" s="78"/>
      <c r="J22" s="4"/>
      <c r="K22" s="18"/>
    </row>
    <row r="23" spans="1:11" x14ac:dyDescent="0.2">
      <c r="A23">
        <v>12</v>
      </c>
      <c r="B23">
        <f t="shared" si="3"/>
        <v>0</v>
      </c>
      <c r="C23">
        <f t="shared" si="4"/>
        <v>0</v>
      </c>
      <c r="D23">
        <f t="shared" si="5"/>
        <v>0</v>
      </c>
      <c r="E23">
        <f t="shared" si="6"/>
        <v>0</v>
      </c>
    </row>
    <row r="24" spans="1:11" x14ac:dyDescent="0.2">
      <c r="A24">
        <v>15</v>
      </c>
      <c r="B24">
        <f t="shared" si="3"/>
        <v>0</v>
      </c>
      <c r="C24">
        <f t="shared" si="4"/>
        <v>0</v>
      </c>
      <c r="D24">
        <f t="shared" si="5"/>
        <v>0</v>
      </c>
      <c r="E24">
        <f t="shared" si="6"/>
        <v>0</v>
      </c>
      <c r="J24" s="4"/>
    </row>
    <row r="25" spans="1:11" x14ac:dyDescent="0.2">
      <c r="A25">
        <v>18</v>
      </c>
      <c r="B25">
        <f t="shared" si="3"/>
        <v>0</v>
      </c>
      <c r="C25">
        <f t="shared" si="4"/>
        <v>0</v>
      </c>
      <c r="D25">
        <f t="shared" si="5"/>
        <v>0</v>
      </c>
      <c r="E25">
        <f t="shared" si="6"/>
        <v>0</v>
      </c>
      <c r="H25" s="78"/>
      <c r="J25" s="4"/>
      <c r="K25" s="18"/>
    </row>
    <row r="26" spans="1:11" x14ac:dyDescent="0.2">
      <c r="A26">
        <v>22</v>
      </c>
      <c r="B26">
        <f t="shared" si="3"/>
        <v>0</v>
      </c>
      <c r="C26">
        <f t="shared" si="4"/>
        <v>0</v>
      </c>
      <c r="D26">
        <f t="shared" si="5"/>
        <v>0</v>
      </c>
      <c r="E26">
        <f t="shared" si="6"/>
        <v>0</v>
      </c>
    </row>
    <row r="27" spans="1:11" x14ac:dyDescent="0.2">
      <c r="A27">
        <v>27</v>
      </c>
      <c r="B27">
        <f t="shared" si="3"/>
        <v>0</v>
      </c>
      <c r="C27">
        <f t="shared" si="4"/>
        <v>0</v>
      </c>
      <c r="D27">
        <f t="shared" si="5"/>
        <v>0</v>
      </c>
      <c r="E27">
        <f t="shared" si="6"/>
        <v>0</v>
      </c>
    </row>
    <row r="28" spans="1:11" x14ac:dyDescent="0.2">
      <c r="A28">
        <v>33</v>
      </c>
      <c r="B28">
        <f t="shared" si="3"/>
        <v>0</v>
      </c>
      <c r="C28">
        <f t="shared" si="4"/>
        <v>0</v>
      </c>
      <c r="D28">
        <f t="shared" si="5"/>
        <v>0</v>
      </c>
      <c r="E28">
        <f t="shared" si="6"/>
        <v>0</v>
      </c>
      <c r="H28" s="5"/>
      <c r="K28" s="18"/>
    </row>
    <row r="29" spans="1:11" x14ac:dyDescent="0.2">
      <c r="A29">
        <v>39</v>
      </c>
      <c r="B29">
        <f t="shared" si="3"/>
        <v>0</v>
      </c>
      <c r="C29">
        <f t="shared" si="4"/>
        <v>0</v>
      </c>
      <c r="D29">
        <f t="shared" si="5"/>
        <v>0</v>
      </c>
      <c r="E29">
        <f t="shared" si="6"/>
        <v>0</v>
      </c>
      <c r="H29" s="5"/>
      <c r="K29" s="78"/>
    </row>
    <row r="30" spans="1:11" x14ac:dyDescent="0.2">
      <c r="A30">
        <v>47</v>
      </c>
      <c r="B30">
        <f t="shared" si="3"/>
        <v>0</v>
      </c>
      <c r="C30">
        <f t="shared" si="4"/>
        <v>0</v>
      </c>
      <c r="D30">
        <f t="shared" si="5"/>
        <v>0</v>
      </c>
      <c r="E30">
        <f t="shared" si="6"/>
        <v>0</v>
      </c>
      <c r="H30" s="5"/>
      <c r="K30" s="78"/>
    </row>
    <row r="31" spans="1:11" x14ac:dyDescent="0.2">
      <c r="A31">
        <v>56</v>
      </c>
      <c r="B31">
        <f t="shared" si="3"/>
        <v>0</v>
      </c>
      <c r="C31">
        <f t="shared" si="4"/>
        <v>0</v>
      </c>
      <c r="D31">
        <f t="shared" si="5"/>
        <v>0</v>
      </c>
      <c r="E31">
        <f t="shared" si="6"/>
        <v>0</v>
      </c>
      <c r="H31" s="5"/>
      <c r="K31" s="18"/>
    </row>
    <row r="32" spans="1:11" x14ac:dyDescent="0.2">
      <c r="A32">
        <v>68</v>
      </c>
      <c r="B32">
        <f t="shared" si="3"/>
        <v>0</v>
      </c>
      <c r="C32">
        <f t="shared" si="4"/>
        <v>0</v>
      </c>
      <c r="D32">
        <f t="shared" si="5"/>
        <v>0</v>
      </c>
      <c r="E32">
        <f t="shared" si="6"/>
        <v>0</v>
      </c>
      <c r="H32" s="5"/>
      <c r="K32" s="78"/>
    </row>
    <row r="33" spans="1:8" x14ac:dyDescent="0.2">
      <c r="A33">
        <v>82</v>
      </c>
      <c r="B33">
        <f t="shared" si="3"/>
        <v>0</v>
      </c>
      <c r="C33">
        <f t="shared" si="4"/>
        <v>0</v>
      </c>
      <c r="D33">
        <f t="shared" si="5"/>
        <v>0</v>
      </c>
      <c r="E33">
        <f t="shared" si="6"/>
        <v>0</v>
      </c>
    </row>
    <row r="34" spans="1:8" x14ac:dyDescent="0.2">
      <c r="A34">
        <f>A22*10</f>
        <v>100</v>
      </c>
      <c r="B34">
        <f t="shared" si="3"/>
        <v>0</v>
      </c>
      <c r="C34">
        <f t="shared" si="4"/>
        <v>0</v>
      </c>
      <c r="D34">
        <f t="shared" si="5"/>
        <v>0</v>
      </c>
      <c r="E34">
        <f t="shared" si="6"/>
        <v>0</v>
      </c>
      <c r="H34" s="78"/>
    </row>
    <row r="35" spans="1:8" x14ac:dyDescent="0.2">
      <c r="A35">
        <f t="shared" ref="A35:A98" si="8">A23*10</f>
        <v>120</v>
      </c>
      <c r="B35">
        <f t="shared" si="3"/>
        <v>0</v>
      </c>
      <c r="C35">
        <f t="shared" si="4"/>
        <v>0</v>
      </c>
      <c r="D35">
        <f t="shared" si="5"/>
        <v>0</v>
      </c>
      <c r="E35">
        <f t="shared" si="6"/>
        <v>0</v>
      </c>
      <c r="H35" s="78"/>
    </row>
    <row r="36" spans="1:8" x14ac:dyDescent="0.2">
      <c r="A36">
        <f t="shared" si="8"/>
        <v>150</v>
      </c>
      <c r="B36">
        <f t="shared" si="3"/>
        <v>0</v>
      </c>
      <c r="C36">
        <f t="shared" si="4"/>
        <v>0</v>
      </c>
      <c r="D36">
        <f t="shared" si="5"/>
        <v>0</v>
      </c>
      <c r="E36">
        <f t="shared" si="6"/>
        <v>0</v>
      </c>
    </row>
    <row r="37" spans="1:8" x14ac:dyDescent="0.2">
      <c r="A37">
        <f t="shared" si="8"/>
        <v>180</v>
      </c>
      <c r="B37">
        <f t="shared" si="3"/>
        <v>0</v>
      </c>
      <c r="C37">
        <f t="shared" si="4"/>
        <v>0</v>
      </c>
      <c r="D37">
        <f t="shared" si="5"/>
        <v>0</v>
      </c>
      <c r="E37">
        <f t="shared" si="6"/>
        <v>0</v>
      </c>
    </row>
    <row r="38" spans="1:8" x14ac:dyDescent="0.2">
      <c r="A38">
        <f t="shared" si="8"/>
        <v>220</v>
      </c>
      <c r="B38">
        <f t="shared" si="3"/>
        <v>0</v>
      </c>
      <c r="C38">
        <f t="shared" si="4"/>
        <v>0</v>
      </c>
      <c r="D38">
        <f t="shared" si="5"/>
        <v>0</v>
      </c>
      <c r="E38">
        <f t="shared" ref="E38:E69" si="9">IF(IF((E$3*10^12-$A39)*(E$3*10^12-$A38)*-1&lt;0,0,1)*IF(ABS(E$3*10^12-$A39)&gt;(E$3*10^12-$A38),$A38,$A39)=E39,0,IF((E$3*10^12-$A39)*(E$3*10^12-$A38)*-1&lt;0,0,1)*IF(ABS(E$3*10^12-$A39)&gt;(E$3*10^12-$A38),$A38,$A39))</f>
        <v>0</v>
      </c>
    </row>
    <row r="39" spans="1:8" x14ac:dyDescent="0.2">
      <c r="A39">
        <f t="shared" si="8"/>
        <v>270</v>
      </c>
      <c r="B39">
        <f t="shared" si="3"/>
        <v>0</v>
      </c>
      <c r="C39">
        <f t="shared" si="4"/>
        <v>0</v>
      </c>
      <c r="D39">
        <f t="shared" si="5"/>
        <v>0</v>
      </c>
      <c r="E39">
        <f t="shared" si="9"/>
        <v>0</v>
      </c>
    </row>
    <row r="40" spans="1:8" x14ac:dyDescent="0.2">
      <c r="A40">
        <f t="shared" si="8"/>
        <v>330</v>
      </c>
      <c r="B40">
        <f t="shared" si="3"/>
        <v>0</v>
      </c>
      <c r="C40">
        <f t="shared" si="4"/>
        <v>0</v>
      </c>
      <c r="D40">
        <f t="shared" si="5"/>
        <v>0</v>
      </c>
      <c r="E40">
        <f t="shared" si="9"/>
        <v>0</v>
      </c>
    </row>
    <row r="41" spans="1:8" x14ac:dyDescent="0.2">
      <c r="A41">
        <f t="shared" si="8"/>
        <v>390</v>
      </c>
      <c r="B41">
        <f t="shared" si="3"/>
        <v>0</v>
      </c>
      <c r="C41">
        <f t="shared" si="4"/>
        <v>0</v>
      </c>
      <c r="D41">
        <f t="shared" si="5"/>
        <v>0</v>
      </c>
      <c r="E41">
        <f t="shared" si="9"/>
        <v>0</v>
      </c>
    </row>
    <row r="42" spans="1:8" x14ac:dyDescent="0.2">
      <c r="A42">
        <f t="shared" si="8"/>
        <v>470</v>
      </c>
      <c r="B42">
        <f t="shared" si="3"/>
        <v>0</v>
      </c>
      <c r="C42">
        <f t="shared" si="4"/>
        <v>0</v>
      </c>
      <c r="D42">
        <f t="shared" si="5"/>
        <v>0</v>
      </c>
      <c r="E42">
        <f t="shared" si="9"/>
        <v>0</v>
      </c>
    </row>
    <row r="43" spans="1:8" x14ac:dyDescent="0.2">
      <c r="A43">
        <f t="shared" si="8"/>
        <v>560</v>
      </c>
      <c r="B43">
        <f t="shared" si="3"/>
        <v>0</v>
      </c>
      <c r="C43">
        <f t="shared" si="4"/>
        <v>0</v>
      </c>
      <c r="D43">
        <f t="shared" si="5"/>
        <v>0</v>
      </c>
      <c r="E43">
        <f t="shared" si="9"/>
        <v>0</v>
      </c>
    </row>
    <row r="44" spans="1:8" x14ac:dyDescent="0.2">
      <c r="A44">
        <f t="shared" si="8"/>
        <v>680</v>
      </c>
      <c r="B44">
        <f t="shared" si="3"/>
        <v>0</v>
      </c>
      <c r="C44">
        <f t="shared" si="4"/>
        <v>0</v>
      </c>
      <c r="D44">
        <f t="shared" si="5"/>
        <v>0</v>
      </c>
      <c r="E44">
        <f t="shared" si="9"/>
        <v>0</v>
      </c>
    </row>
    <row r="45" spans="1:8" x14ac:dyDescent="0.2">
      <c r="A45">
        <f>A33*10</f>
        <v>820</v>
      </c>
      <c r="B45">
        <f t="shared" si="3"/>
        <v>0</v>
      </c>
      <c r="C45">
        <f t="shared" si="4"/>
        <v>0</v>
      </c>
      <c r="D45">
        <f t="shared" si="5"/>
        <v>0</v>
      </c>
      <c r="E45">
        <f t="shared" si="9"/>
        <v>0</v>
      </c>
    </row>
    <row r="46" spans="1:8" x14ac:dyDescent="0.2">
      <c r="A46">
        <f t="shared" si="8"/>
        <v>1000</v>
      </c>
      <c r="B46">
        <f t="shared" si="3"/>
        <v>0</v>
      </c>
      <c r="C46">
        <f t="shared" si="4"/>
        <v>0</v>
      </c>
      <c r="D46">
        <f t="shared" si="5"/>
        <v>0</v>
      </c>
      <c r="E46">
        <f t="shared" si="9"/>
        <v>0</v>
      </c>
    </row>
    <row r="47" spans="1:8" x14ac:dyDescent="0.2">
      <c r="A47">
        <f t="shared" si="8"/>
        <v>1200</v>
      </c>
      <c r="B47">
        <f t="shared" si="3"/>
        <v>0</v>
      </c>
      <c r="C47">
        <f t="shared" si="4"/>
        <v>0</v>
      </c>
      <c r="D47">
        <f t="shared" si="5"/>
        <v>0</v>
      </c>
      <c r="E47">
        <f t="shared" si="9"/>
        <v>0</v>
      </c>
    </row>
    <row r="48" spans="1:8" x14ac:dyDescent="0.2">
      <c r="A48">
        <f t="shared" si="8"/>
        <v>1500</v>
      </c>
      <c r="B48">
        <f t="shared" si="3"/>
        <v>0</v>
      </c>
      <c r="C48">
        <f t="shared" si="4"/>
        <v>0</v>
      </c>
      <c r="D48">
        <f t="shared" si="5"/>
        <v>0</v>
      </c>
      <c r="E48">
        <f t="shared" si="9"/>
        <v>0</v>
      </c>
    </row>
    <row r="49" spans="1:5" x14ac:dyDescent="0.2">
      <c r="A49">
        <f t="shared" si="8"/>
        <v>1800</v>
      </c>
      <c r="B49">
        <f t="shared" si="3"/>
        <v>0</v>
      </c>
      <c r="C49">
        <f t="shared" si="4"/>
        <v>0</v>
      </c>
      <c r="D49">
        <f t="shared" si="5"/>
        <v>0</v>
      </c>
      <c r="E49">
        <f t="shared" si="9"/>
        <v>0</v>
      </c>
    </row>
    <row r="50" spans="1:5" x14ac:dyDescent="0.2">
      <c r="A50">
        <f t="shared" si="8"/>
        <v>2200</v>
      </c>
      <c r="B50">
        <f t="shared" si="3"/>
        <v>0</v>
      </c>
      <c r="C50">
        <f t="shared" si="4"/>
        <v>0</v>
      </c>
      <c r="D50">
        <f t="shared" si="5"/>
        <v>0</v>
      </c>
      <c r="E50">
        <f t="shared" si="9"/>
        <v>0</v>
      </c>
    </row>
    <row r="51" spans="1:5" x14ac:dyDescent="0.2">
      <c r="A51">
        <f t="shared" si="8"/>
        <v>2700</v>
      </c>
      <c r="B51">
        <f t="shared" si="3"/>
        <v>0</v>
      </c>
      <c r="C51">
        <f t="shared" si="4"/>
        <v>0</v>
      </c>
      <c r="D51">
        <f t="shared" si="5"/>
        <v>0</v>
      </c>
      <c r="E51">
        <f t="shared" si="9"/>
        <v>0</v>
      </c>
    </row>
    <row r="52" spans="1:5" x14ac:dyDescent="0.2">
      <c r="A52">
        <f t="shared" si="8"/>
        <v>3300</v>
      </c>
      <c r="B52">
        <f t="shared" si="3"/>
        <v>0</v>
      </c>
      <c r="C52">
        <f t="shared" si="4"/>
        <v>0</v>
      </c>
      <c r="D52">
        <f t="shared" si="5"/>
        <v>0</v>
      </c>
      <c r="E52">
        <f t="shared" si="9"/>
        <v>0</v>
      </c>
    </row>
    <row r="53" spans="1:5" x14ac:dyDescent="0.2">
      <c r="A53">
        <f t="shared" si="8"/>
        <v>3900</v>
      </c>
      <c r="B53">
        <f t="shared" si="3"/>
        <v>0</v>
      </c>
      <c r="C53">
        <f t="shared" si="4"/>
        <v>0</v>
      </c>
      <c r="D53">
        <f t="shared" si="5"/>
        <v>0</v>
      </c>
      <c r="E53">
        <f t="shared" si="9"/>
        <v>0</v>
      </c>
    </row>
    <row r="54" spans="1:5" x14ac:dyDescent="0.2">
      <c r="A54">
        <f t="shared" si="8"/>
        <v>4700</v>
      </c>
      <c r="B54">
        <f t="shared" si="3"/>
        <v>0</v>
      </c>
      <c r="C54">
        <f t="shared" si="4"/>
        <v>0</v>
      </c>
      <c r="D54">
        <f t="shared" si="5"/>
        <v>0</v>
      </c>
      <c r="E54">
        <f t="shared" si="9"/>
        <v>0</v>
      </c>
    </row>
    <row r="55" spans="1:5" x14ac:dyDescent="0.2">
      <c r="A55">
        <f t="shared" si="8"/>
        <v>5600</v>
      </c>
      <c r="B55">
        <f t="shared" si="3"/>
        <v>0</v>
      </c>
      <c r="C55">
        <f t="shared" si="4"/>
        <v>0</v>
      </c>
      <c r="D55">
        <f t="shared" si="5"/>
        <v>0</v>
      </c>
      <c r="E55">
        <f t="shared" si="9"/>
        <v>0</v>
      </c>
    </row>
    <row r="56" spans="1:5" x14ac:dyDescent="0.2">
      <c r="A56">
        <f t="shared" si="8"/>
        <v>6800</v>
      </c>
      <c r="B56">
        <f t="shared" si="3"/>
        <v>0</v>
      </c>
      <c r="C56">
        <f t="shared" si="4"/>
        <v>0</v>
      </c>
      <c r="D56">
        <f t="shared" si="5"/>
        <v>0</v>
      </c>
      <c r="E56">
        <f t="shared" si="9"/>
        <v>0</v>
      </c>
    </row>
    <row r="57" spans="1:5" x14ac:dyDescent="0.2">
      <c r="A57">
        <f t="shared" si="8"/>
        <v>8200</v>
      </c>
      <c r="B57">
        <f t="shared" si="3"/>
        <v>0</v>
      </c>
      <c r="C57">
        <f t="shared" si="4"/>
        <v>0</v>
      </c>
      <c r="D57">
        <f t="shared" si="5"/>
        <v>0</v>
      </c>
      <c r="E57">
        <f t="shared" si="9"/>
        <v>0</v>
      </c>
    </row>
    <row r="58" spans="1:5" x14ac:dyDescent="0.2">
      <c r="A58">
        <f t="shared" si="8"/>
        <v>10000</v>
      </c>
      <c r="B58">
        <f t="shared" si="3"/>
        <v>0</v>
      </c>
      <c r="C58">
        <f t="shared" si="4"/>
        <v>0</v>
      </c>
      <c r="D58">
        <f t="shared" si="5"/>
        <v>0</v>
      </c>
      <c r="E58">
        <f t="shared" si="9"/>
        <v>0</v>
      </c>
    </row>
    <row r="59" spans="1:5" x14ac:dyDescent="0.2">
      <c r="A59">
        <f t="shared" si="8"/>
        <v>12000</v>
      </c>
      <c r="B59">
        <f t="shared" si="3"/>
        <v>0</v>
      </c>
      <c r="C59">
        <f t="shared" si="4"/>
        <v>0</v>
      </c>
      <c r="D59">
        <f t="shared" si="5"/>
        <v>0</v>
      </c>
      <c r="E59">
        <f t="shared" si="9"/>
        <v>0</v>
      </c>
    </row>
    <row r="60" spans="1:5" x14ac:dyDescent="0.2">
      <c r="A60">
        <f t="shared" si="8"/>
        <v>15000</v>
      </c>
      <c r="B60">
        <f t="shared" si="3"/>
        <v>0</v>
      </c>
      <c r="C60">
        <f t="shared" si="4"/>
        <v>0</v>
      </c>
      <c r="D60">
        <f t="shared" si="5"/>
        <v>0</v>
      </c>
      <c r="E60">
        <f t="shared" si="9"/>
        <v>0</v>
      </c>
    </row>
    <row r="61" spans="1:5" x14ac:dyDescent="0.2">
      <c r="A61">
        <f t="shared" si="8"/>
        <v>18000</v>
      </c>
      <c r="B61">
        <f t="shared" si="3"/>
        <v>22000</v>
      </c>
      <c r="C61">
        <f t="shared" si="4"/>
        <v>0</v>
      </c>
      <c r="D61">
        <f t="shared" si="5"/>
        <v>0</v>
      </c>
      <c r="E61">
        <f t="shared" si="9"/>
        <v>0</v>
      </c>
    </row>
    <row r="62" spans="1:5" x14ac:dyDescent="0.2">
      <c r="A62">
        <f t="shared" si="8"/>
        <v>22000</v>
      </c>
      <c r="B62">
        <f t="shared" si="3"/>
        <v>0</v>
      </c>
      <c r="C62">
        <f t="shared" si="4"/>
        <v>0</v>
      </c>
      <c r="D62">
        <f t="shared" si="5"/>
        <v>0</v>
      </c>
      <c r="E62">
        <f t="shared" si="9"/>
        <v>0</v>
      </c>
    </row>
    <row r="63" spans="1:5" x14ac:dyDescent="0.2">
      <c r="A63">
        <f t="shared" si="8"/>
        <v>27000</v>
      </c>
      <c r="B63">
        <f t="shared" si="3"/>
        <v>0</v>
      </c>
      <c r="C63">
        <f t="shared" si="4"/>
        <v>0</v>
      </c>
      <c r="D63">
        <f t="shared" si="5"/>
        <v>0</v>
      </c>
      <c r="E63">
        <f t="shared" si="9"/>
        <v>0</v>
      </c>
    </row>
    <row r="64" spans="1:5" x14ac:dyDescent="0.2">
      <c r="A64">
        <f t="shared" si="8"/>
        <v>33000</v>
      </c>
      <c r="B64">
        <f t="shared" si="3"/>
        <v>0</v>
      </c>
      <c r="C64">
        <f t="shared" si="4"/>
        <v>0</v>
      </c>
      <c r="D64">
        <f t="shared" si="5"/>
        <v>0</v>
      </c>
      <c r="E64">
        <f t="shared" si="9"/>
        <v>0</v>
      </c>
    </row>
    <row r="65" spans="1:5" x14ac:dyDescent="0.2">
      <c r="A65">
        <f t="shared" si="8"/>
        <v>39000</v>
      </c>
      <c r="B65">
        <f t="shared" si="3"/>
        <v>0</v>
      </c>
      <c r="C65">
        <f t="shared" si="4"/>
        <v>0</v>
      </c>
      <c r="D65">
        <f t="shared" si="5"/>
        <v>0</v>
      </c>
      <c r="E65">
        <f t="shared" si="9"/>
        <v>0</v>
      </c>
    </row>
    <row r="66" spans="1:5" x14ac:dyDescent="0.2">
      <c r="A66">
        <f t="shared" si="8"/>
        <v>47000</v>
      </c>
      <c r="B66">
        <f t="shared" si="3"/>
        <v>0</v>
      </c>
      <c r="C66">
        <f t="shared" si="4"/>
        <v>0</v>
      </c>
      <c r="D66">
        <f t="shared" si="5"/>
        <v>0</v>
      </c>
      <c r="E66">
        <f t="shared" si="9"/>
        <v>0</v>
      </c>
    </row>
    <row r="67" spans="1:5" x14ac:dyDescent="0.2">
      <c r="A67">
        <f t="shared" si="8"/>
        <v>56000</v>
      </c>
      <c r="B67">
        <f t="shared" si="3"/>
        <v>0</v>
      </c>
      <c r="C67">
        <f t="shared" si="4"/>
        <v>0</v>
      </c>
      <c r="D67">
        <f t="shared" si="5"/>
        <v>0</v>
      </c>
      <c r="E67">
        <f t="shared" si="9"/>
        <v>0</v>
      </c>
    </row>
    <row r="68" spans="1:5" x14ac:dyDescent="0.2">
      <c r="A68">
        <f t="shared" si="8"/>
        <v>68000</v>
      </c>
      <c r="B68">
        <f t="shared" si="3"/>
        <v>0</v>
      </c>
      <c r="C68">
        <f t="shared" si="4"/>
        <v>0</v>
      </c>
      <c r="D68">
        <f t="shared" si="5"/>
        <v>0</v>
      </c>
      <c r="E68">
        <f t="shared" si="9"/>
        <v>0</v>
      </c>
    </row>
    <row r="69" spans="1:5" x14ac:dyDescent="0.2">
      <c r="A69">
        <f t="shared" si="8"/>
        <v>82000</v>
      </c>
      <c r="B69">
        <f t="shared" si="3"/>
        <v>0</v>
      </c>
      <c r="C69">
        <f t="shared" si="4"/>
        <v>0</v>
      </c>
      <c r="D69">
        <f t="shared" si="5"/>
        <v>0</v>
      </c>
      <c r="E69">
        <f t="shared" si="9"/>
        <v>0</v>
      </c>
    </row>
    <row r="70" spans="1:5" x14ac:dyDescent="0.2">
      <c r="A70">
        <f t="shared" si="8"/>
        <v>100000</v>
      </c>
      <c r="B70">
        <f t="shared" si="3"/>
        <v>0</v>
      </c>
      <c r="C70">
        <f t="shared" ref="C70:D70" si="10">IF(IF((C$3*10^12-$A71)*(C$3*10^12-$A70)*-1&lt;0,0,1)*IF(ABS(C$3*10^12-$A71)&gt;(C$3*10^12-$A70),$A70,$A71)=C71,0,IF((C$3*10^12-$A71)*(C$3*10^12-$A70)*-1&lt;0,0,1)*IF(ABS(C$3*10^12-$A71)&gt;(C$3*10^12-$A70),$A70,$A71))</f>
        <v>0</v>
      </c>
      <c r="D70">
        <f t="shared" si="10"/>
        <v>0</v>
      </c>
      <c r="E70">
        <f t="shared" ref="E70:E101" si="11">IF(IF((E$3*10^12-$A71)*(E$3*10^12-$A70)*-1&lt;0,0,1)*IF(ABS(E$3*10^12-$A71)&gt;(E$3*10^12-$A70),$A70,$A71)=E71,0,IF((E$3*10^12-$A71)*(E$3*10^12-$A70)*-1&lt;0,0,1)*IF(ABS(E$3*10^12-$A71)&gt;(E$3*10^12-$A70),$A70,$A71))</f>
        <v>0</v>
      </c>
    </row>
    <row r="71" spans="1:5" x14ac:dyDescent="0.2">
      <c r="A71">
        <f t="shared" si="8"/>
        <v>120000</v>
      </c>
      <c r="B71">
        <f t="shared" ref="B71:B134" si="12">IF(IF((B$3*10^12-$A72)*(B$3*10^12-$A71)*-1&lt;0,0,1)*IF(ABS(B$3*10^12-$A72)&gt;(B$3*10^12-$A71),$A71,$A72)=B72,0,IF((B$3*10^12-$A72)*(B$3*10^12-$A71)*-1&lt;0,0,1)*IF(ABS(B$3*10^12-$A72)&gt;(B$3*10^12-$A71),$A71,$A72))</f>
        <v>0</v>
      </c>
      <c r="C71">
        <f t="shared" ref="C71:C133" si="13">IF(IF((C$3*10^12-$A72)*(C$3*10^12-$A71)*-1&lt;0,0,1)*IF(ABS(C$3*10^12-$A72)&gt;(C$3*10^12-$A71),$A71,$A72)=C72,0,IF((C$3*10^12-$A72)*(C$3*10^12-$A71)*-1&lt;0,0,1)*IF(ABS(C$3*10^12-$A72)&gt;(C$3*10^12-$A71),$A71,$A72))</f>
        <v>0</v>
      </c>
      <c r="D71">
        <f t="shared" ref="D71:D102" si="14">IF(IF((D$3*10^12-$A72)*(D$3*10^12-$A71)*-1&lt;0,0,1)*IF(ABS(D$3*10^12-$A72)&gt;(D$3*10^12-$A71),$A71,$A72)=D72,0,IF((D$3*10^12-$A72)*(D$3*10^12-$A71)*-1&lt;0,0,1)*IF(ABS(D$3*10^12-$A72)&gt;(D$3*10^12-$A71),$A71,$A72))</f>
        <v>0</v>
      </c>
      <c r="E71">
        <f t="shared" si="11"/>
        <v>0</v>
      </c>
    </row>
    <row r="72" spans="1:5" x14ac:dyDescent="0.2">
      <c r="A72">
        <f t="shared" si="8"/>
        <v>150000</v>
      </c>
      <c r="B72">
        <f t="shared" si="12"/>
        <v>0</v>
      </c>
      <c r="C72">
        <f t="shared" si="13"/>
        <v>0</v>
      </c>
      <c r="D72">
        <f t="shared" si="14"/>
        <v>0</v>
      </c>
      <c r="E72">
        <f t="shared" si="11"/>
        <v>0</v>
      </c>
    </row>
    <row r="73" spans="1:5" x14ac:dyDescent="0.2">
      <c r="A73">
        <f t="shared" si="8"/>
        <v>180000</v>
      </c>
      <c r="B73">
        <f t="shared" si="12"/>
        <v>0</v>
      </c>
      <c r="C73">
        <f t="shared" si="13"/>
        <v>0</v>
      </c>
      <c r="D73">
        <f t="shared" si="14"/>
        <v>0</v>
      </c>
      <c r="E73">
        <f t="shared" si="11"/>
        <v>0</v>
      </c>
    </row>
    <row r="74" spans="1:5" x14ac:dyDescent="0.2">
      <c r="A74">
        <f t="shared" si="8"/>
        <v>220000</v>
      </c>
      <c r="B74">
        <f t="shared" si="12"/>
        <v>0</v>
      </c>
      <c r="C74">
        <f t="shared" si="13"/>
        <v>0</v>
      </c>
      <c r="D74">
        <f t="shared" si="14"/>
        <v>0</v>
      </c>
      <c r="E74">
        <f t="shared" si="11"/>
        <v>0</v>
      </c>
    </row>
    <row r="75" spans="1:5" x14ac:dyDescent="0.2">
      <c r="A75">
        <f t="shared" si="8"/>
        <v>270000</v>
      </c>
      <c r="B75">
        <f t="shared" si="12"/>
        <v>0</v>
      </c>
      <c r="C75">
        <f t="shared" si="13"/>
        <v>0</v>
      </c>
      <c r="D75">
        <f t="shared" si="14"/>
        <v>0</v>
      </c>
      <c r="E75">
        <f t="shared" si="11"/>
        <v>0</v>
      </c>
    </row>
    <row r="76" spans="1:5" x14ac:dyDescent="0.2">
      <c r="A76">
        <f t="shared" si="8"/>
        <v>330000</v>
      </c>
      <c r="B76">
        <f t="shared" si="12"/>
        <v>0</v>
      </c>
      <c r="C76">
        <f t="shared" si="13"/>
        <v>0</v>
      </c>
      <c r="D76">
        <f t="shared" si="14"/>
        <v>0</v>
      </c>
      <c r="E76">
        <f t="shared" si="11"/>
        <v>0</v>
      </c>
    </row>
    <row r="77" spans="1:5" x14ac:dyDescent="0.2">
      <c r="A77">
        <f t="shared" si="8"/>
        <v>390000</v>
      </c>
      <c r="B77">
        <f t="shared" si="12"/>
        <v>0</v>
      </c>
      <c r="C77">
        <f t="shared" si="13"/>
        <v>0</v>
      </c>
      <c r="D77">
        <f t="shared" si="14"/>
        <v>0</v>
      </c>
      <c r="E77">
        <f t="shared" si="11"/>
        <v>0</v>
      </c>
    </row>
    <row r="78" spans="1:5" x14ac:dyDescent="0.2">
      <c r="A78">
        <f t="shared" si="8"/>
        <v>470000</v>
      </c>
      <c r="B78">
        <f t="shared" si="12"/>
        <v>0</v>
      </c>
      <c r="C78">
        <f t="shared" si="13"/>
        <v>0</v>
      </c>
      <c r="D78">
        <f t="shared" si="14"/>
        <v>0</v>
      </c>
      <c r="E78">
        <f t="shared" si="11"/>
        <v>0</v>
      </c>
    </row>
    <row r="79" spans="1:5" x14ac:dyDescent="0.2">
      <c r="A79">
        <f t="shared" si="8"/>
        <v>560000</v>
      </c>
      <c r="B79">
        <f t="shared" si="12"/>
        <v>0</v>
      </c>
      <c r="C79">
        <f t="shared" si="13"/>
        <v>0</v>
      </c>
      <c r="D79">
        <f t="shared" si="14"/>
        <v>0</v>
      </c>
      <c r="E79">
        <f t="shared" si="11"/>
        <v>0</v>
      </c>
    </row>
    <row r="80" spans="1:5" x14ac:dyDescent="0.2">
      <c r="A80">
        <f t="shared" si="8"/>
        <v>680000</v>
      </c>
      <c r="B80">
        <f t="shared" si="12"/>
        <v>0</v>
      </c>
      <c r="C80">
        <f t="shared" si="13"/>
        <v>0</v>
      </c>
      <c r="D80">
        <f t="shared" si="14"/>
        <v>0</v>
      </c>
      <c r="E80">
        <f t="shared" si="11"/>
        <v>0</v>
      </c>
    </row>
    <row r="81" spans="1:5" x14ac:dyDescent="0.2">
      <c r="A81">
        <f t="shared" si="8"/>
        <v>820000</v>
      </c>
      <c r="B81">
        <f t="shared" si="12"/>
        <v>0</v>
      </c>
      <c r="C81">
        <f t="shared" si="13"/>
        <v>0</v>
      </c>
      <c r="D81">
        <f t="shared" si="14"/>
        <v>0</v>
      </c>
      <c r="E81">
        <f t="shared" si="11"/>
        <v>0</v>
      </c>
    </row>
    <row r="82" spans="1:5" x14ac:dyDescent="0.2">
      <c r="A82">
        <f t="shared" si="8"/>
        <v>1000000</v>
      </c>
      <c r="B82">
        <f t="shared" si="12"/>
        <v>0</v>
      </c>
      <c r="C82">
        <f t="shared" si="13"/>
        <v>0</v>
      </c>
      <c r="D82">
        <f t="shared" si="14"/>
        <v>0</v>
      </c>
      <c r="E82">
        <f t="shared" si="11"/>
        <v>0</v>
      </c>
    </row>
    <row r="83" spans="1:5" x14ac:dyDescent="0.2">
      <c r="A83">
        <f t="shared" si="8"/>
        <v>1200000</v>
      </c>
      <c r="B83">
        <f t="shared" si="12"/>
        <v>0</v>
      </c>
      <c r="C83">
        <f t="shared" si="13"/>
        <v>0</v>
      </c>
      <c r="D83">
        <f t="shared" si="14"/>
        <v>0</v>
      </c>
      <c r="E83">
        <f t="shared" si="11"/>
        <v>0</v>
      </c>
    </row>
    <row r="84" spans="1:5" x14ac:dyDescent="0.2">
      <c r="A84">
        <f t="shared" si="8"/>
        <v>1500000</v>
      </c>
      <c r="B84">
        <f t="shared" si="12"/>
        <v>0</v>
      </c>
      <c r="C84">
        <f t="shared" si="13"/>
        <v>0</v>
      </c>
      <c r="D84">
        <f t="shared" si="14"/>
        <v>0</v>
      </c>
      <c r="E84">
        <f t="shared" si="11"/>
        <v>0</v>
      </c>
    </row>
    <row r="85" spans="1:5" x14ac:dyDescent="0.2">
      <c r="A85">
        <f t="shared" si="8"/>
        <v>1800000</v>
      </c>
      <c r="B85">
        <f t="shared" si="12"/>
        <v>0</v>
      </c>
      <c r="C85">
        <f t="shared" si="13"/>
        <v>0</v>
      </c>
      <c r="D85">
        <f t="shared" si="14"/>
        <v>0</v>
      </c>
      <c r="E85">
        <f t="shared" si="11"/>
        <v>0</v>
      </c>
    </row>
    <row r="86" spans="1:5" x14ac:dyDescent="0.2">
      <c r="A86">
        <f t="shared" si="8"/>
        <v>2200000</v>
      </c>
      <c r="B86">
        <f t="shared" si="12"/>
        <v>0</v>
      </c>
      <c r="C86">
        <f t="shared" si="13"/>
        <v>0</v>
      </c>
      <c r="D86">
        <f t="shared" si="14"/>
        <v>0</v>
      </c>
      <c r="E86">
        <f t="shared" si="11"/>
        <v>0</v>
      </c>
    </row>
    <row r="87" spans="1:5" x14ac:dyDescent="0.2">
      <c r="A87">
        <f t="shared" si="8"/>
        <v>2700000</v>
      </c>
      <c r="B87">
        <f t="shared" si="12"/>
        <v>0</v>
      </c>
      <c r="C87">
        <f t="shared" si="13"/>
        <v>0</v>
      </c>
      <c r="D87">
        <f t="shared" si="14"/>
        <v>0</v>
      </c>
      <c r="E87">
        <f t="shared" si="11"/>
        <v>0</v>
      </c>
    </row>
    <row r="88" spans="1:5" x14ac:dyDescent="0.2">
      <c r="A88">
        <f t="shared" si="8"/>
        <v>3300000</v>
      </c>
      <c r="B88">
        <f t="shared" si="12"/>
        <v>0</v>
      </c>
      <c r="C88">
        <f t="shared" si="13"/>
        <v>0</v>
      </c>
      <c r="D88">
        <f t="shared" si="14"/>
        <v>0</v>
      </c>
      <c r="E88">
        <f t="shared" si="11"/>
        <v>0</v>
      </c>
    </row>
    <row r="89" spans="1:5" x14ac:dyDescent="0.2">
      <c r="A89">
        <f t="shared" si="8"/>
        <v>3900000</v>
      </c>
      <c r="B89">
        <f t="shared" si="12"/>
        <v>0</v>
      </c>
      <c r="C89">
        <f t="shared" si="13"/>
        <v>0</v>
      </c>
      <c r="D89">
        <f t="shared" si="14"/>
        <v>0</v>
      </c>
      <c r="E89">
        <f t="shared" si="11"/>
        <v>0</v>
      </c>
    </row>
    <row r="90" spans="1:5" x14ac:dyDescent="0.2">
      <c r="A90">
        <f t="shared" si="8"/>
        <v>4700000</v>
      </c>
      <c r="B90">
        <f t="shared" si="12"/>
        <v>0</v>
      </c>
      <c r="C90">
        <f t="shared" si="13"/>
        <v>0</v>
      </c>
      <c r="D90">
        <f t="shared" si="14"/>
        <v>0</v>
      </c>
      <c r="E90">
        <f t="shared" si="11"/>
        <v>0</v>
      </c>
    </row>
    <row r="91" spans="1:5" x14ac:dyDescent="0.2">
      <c r="A91">
        <f t="shared" si="8"/>
        <v>5600000</v>
      </c>
      <c r="B91">
        <f t="shared" si="12"/>
        <v>0</v>
      </c>
      <c r="C91">
        <f t="shared" si="13"/>
        <v>0</v>
      </c>
      <c r="D91">
        <f t="shared" si="14"/>
        <v>0</v>
      </c>
      <c r="E91">
        <f t="shared" si="11"/>
        <v>0</v>
      </c>
    </row>
    <row r="92" spans="1:5" x14ac:dyDescent="0.2">
      <c r="A92">
        <f t="shared" si="8"/>
        <v>6800000</v>
      </c>
      <c r="B92">
        <f t="shared" si="12"/>
        <v>0</v>
      </c>
      <c r="C92">
        <f t="shared" si="13"/>
        <v>0</v>
      </c>
      <c r="D92">
        <f t="shared" si="14"/>
        <v>0</v>
      </c>
      <c r="E92">
        <f t="shared" si="11"/>
        <v>0</v>
      </c>
    </row>
    <row r="93" spans="1:5" x14ac:dyDescent="0.2">
      <c r="A93">
        <f t="shared" si="8"/>
        <v>8200000</v>
      </c>
      <c r="B93">
        <f t="shared" si="12"/>
        <v>0</v>
      </c>
      <c r="C93">
        <f t="shared" si="13"/>
        <v>0</v>
      </c>
      <c r="D93">
        <f t="shared" si="14"/>
        <v>0</v>
      </c>
      <c r="E93">
        <f t="shared" si="11"/>
        <v>0</v>
      </c>
    </row>
    <row r="94" spans="1:5" x14ac:dyDescent="0.2">
      <c r="A94">
        <f t="shared" si="8"/>
        <v>10000000</v>
      </c>
      <c r="B94">
        <f t="shared" si="12"/>
        <v>0</v>
      </c>
      <c r="C94">
        <f t="shared" si="13"/>
        <v>0</v>
      </c>
      <c r="D94">
        <f t="shared" si="14"/>
        <v>0</v>
      </c>
      <c r="E94">
        <f t="shared" si="11"/>
        <v>0</v>
      </c>
    </row>
    <row r="95" spans="1:5" x14ac:dyDescent="0.2">
      <c r="A95">
        <f t="shared" si="8"/>
        <v>12000000</v>
      </c>
      <c r="B95">
        <f t="shared" si="12"/>
        <v>0</v>
      </c>
      <c r="C95">
        <f t="shared" si="13"/>
        <v>0</v>
      </c>
      <c r="D95">
        <f t="shared" si="14"/>
        <v>0</v>
      </c>
      <c r="E95">
        <f t="shared" si="11"/>
        <v>0</v>
      </c>
    </row>
    <row r="96" spans="1:5" x14ac:dyDescent="0.2">
      <c r="A96">
        <f t="shared" si="8"/>
        <v>15000000</v>
      </c>
      <c r="B96">
        <f t="shared" si="12"/>
        <v>0</v>
      </c>
      <c r="C96">
        <f t="shared" si="13"/>
        <v>0</v>
      </c>
      <c r="D96">
        <f t="shared" si="14"/>
        <v>0</v>
      </c>
      <c r="E96">
        <f t="shared" si="11"/>
        <v>0</v>
      </c>
    </row>
    <row r="97" spans="1:5" x14ac:dyDescent="0.2">
      <c r="A97">
        <f t="shared" si="8"/>
        <v>18000000</v>
      </c>
      <c r="B97">
        <f t="shared" si="12"/>
        <v>0</v>
      </c>
      <c r="C97">
        <f t="shared" si="13"/>
        <v>0</v>
      </c>
      <c r="D97">
        <f t="shared" si="14"/>
        <v>0</v>
      </c>
      <c r="E97">
        <f t="shared" si="11"/>
        <v>0</v>
      </c>
    </row>
    <row r="98" spans="1:5" x14ac:dyDescent="0.2">
      <c r="A98">
        <f t="shared" si="8"/>
        <v>22000000</v>
      </c>
      <c r="B98">
        <f t="shared" si="12"/>
        <v>0</v>
      </c>
      <c r="C98">
        <f t="shared" si="13"/>
        <v>0</v>
      </c>
      <c r="D98">
        <f t="shared" si="14"/>
        <v>0</v>
      </c>
      <c r="E98">
        <f t="shared" si="11"/>
        <v>0</v>
      </c>
    </row>
    <row r="99" spans="1:5" x14ac:dyDescent="0.2">
      <c r="A99">
        <f t="shared" ref="A99:A159" si="15">A87*10</f>
        <v>27000000</v>
      </c>
      <c r="B99">
        <f t="shared" si="12"/>
        <v>0</v>
      </c>
      <c r="C99">
        <f t="shared" si="13"/>
        <v>0</v>
      </c>
      <c r="D99">
        <f t="shared" si="14"/>
        <v>0</v>
      </c>
      <c r="E99">
        <f t="shared" si="11"/>
        <v>0</v>
      </c>
    </row>
    <row r="100" spans="1:5" x14ac:dyDescent="0.2">
      <c r="A100">
        <f t="shared" si="15"/>
        <v>33000000</v>
      </c>
      <c r="B100">
        <f t="shared" si="12"/>
        <v>0</v>
      </c>
      <c r="C100">
        <f t="shared" si="13"/>
        <v>0</v>
      </c>
      <c r="D100">
        <f t="shared" si="14"/>
        <v>0</v>
      </c>
      <c r="E100">
        <f t="shared" si="11"/>
        <v>0</v>
      </c>
    </row>
    <row r="101" spans="1:5" x14ac:dyDescent="0.2">
      <c r="A101">
        <f t="shared" si="15"/>
        <v>39000000</v>
      </c>
      <c r="B101">
        <f t="shared" si="12"/>
        <v>0</v>
      </c>
      <c r="C101">
        <f t="shared" si="13"/>
        <v>0</v>
      </c>
      <c r="D101">
        <f t="shared" si="14"/>
        <v>0</v>
      </c>
      <c r="E101">
        <f t="shared" si="11"/>
        <v>0</v>
      </c>
    </row>
    <row r="102" spans="1:5" x14ac:dyDescent="0.2">
      <c r="A102">
        <f t="shared" si="15"/>
        <v>47000000</v>
      </c>
      <c r="B102">
        <f t="shared" si="12"/>
        <v>0</v>
      </c>
      <c r="C102">
        <f t="shared" si="13"/>
        <v>0</v>
      </c>
      <c r="D102">
        <f t="shared" si="14"/>
        <v>0</v>
      </c>
      <c r="E102">
        <f t="shared" ref="E102:E133" si="16">IF(IF((E$3*10^12-$A103)*(E$3*10^12-$A102)*-1&lt;0,0,1)*IF(ABS(E$3*10^12-$A103)&gt;(E$3*10^12-$A102),$A102,$A103)=E103,0,IF((E$3*10^12-$A103)*(E$3*10^12-$A102)*-1&lt;0,0,1)*IF(ABS(E$3*10^12-$A103)&gt;(E$3*10^12-$A102),$A102,$A103))</f>
        <v>0</v>
      </c>
    </row>
    <row r="103" spans="1:5" x14ac:dyDescent="0.2">
      <c r="A103">
        <f t="shared" si="15"/>
        <v>56000000</v>
      </c>
      <c r="B103">
        <f t="shared" si="12"/>
        <v>0</v>
      </c>
      <c r="C103">
        <f t="shared" si="13"/>
        <v>0</v>
      </c>
      <c r="D103">
        <f t="shared" ref="D103:D134" si="17">IF(IF((D$3*10^12-$A104)*(D$3*10^12-$A103)*-1&lt;0,0,1)*IF(ABS(D$3*10^12-$A104)&gt;(D$3*10^12-$A103),$A103,$A104)=D104,0,IF((D$3*10^12-$A104)*(D$3*10^12-$A103)*-1&lt;0,0,1)*IF(ABS(D$3*10^12-$A104)&gt;(D$3*10^12-$A103),$A103,$A104))</f>
        <v>0</v>
      </c>
      <c r="E103">
        <f t="shared" si="16"/>
        <v>0</v>
      </c>
    </row>
    <row r="104" spans="1:5" x14ac:dyDescent="0.2">
      <c r="A104">
        <f t="shared" si="15"/>
        <v>68000000</v>
      </c>
      <c r="B104">
        <f t="shared" si="12"/>
        <v>0</v>
      </c>
      <c r="C104">
        <f t="shared" si="13"/>
        <v>0</v>
      </c>
      <c r="D104">
        <f t="shared" si="17"/>
        <v>0</v>
      </c>
      <c r="E104">
        <f t="shared" si="16"/>
        <v>0</v>
      </c>
    </row>
    <row r="105" spans="1:5" x14ac:dyDescent="0.2">
      <c r="A105">
        <f t="shared" si="15"/>
        <v>82000000</v>
      </c>
      <c r="B105">
        <f t="shared" si="12"/>
        <v>0</v>
      </c>
      <c r="C105">
        <f t="shared" si="13"/>
        <v>0</v>
      </c>
      <c r="D105">
        <f t="shared" si="17"/>
        <v>0</v>
      </c>
      <c r="E105">
        <f t="shared" si="16"/>
        <v>0</v>
      </c>
    </row>
    <row r="106" spans="1:5" x14ac:dyDescent="0.2">
      <c r="A106">
        <f t="shared" si="15"/>
        <v>100000000</v>
      </c>
      <c r="B106">
        <f t="shared" si="12"/>
        <v>0</v>
      </c>
      <c r="C106">
        <f t="shared" si="13"/>
        <v>0</v>
      </c>
      <c r="D106">
        <f t="shared" si="17"/>
        <v>0</v>
      </c>
      <c r="E106">
        <f t="shared" si="16"/>
        <v>0</v>
      </c>
    </row>
    <row r="107" spans="1:5" x14ac:dyDescent="0.2">
      <c r="A107">
        <f t="shared" si="15"/>
        <v>120000000</v>
      </c>
      <c r="B107">
        <f t="shared" si="12"/>
        <v>0</v>
      </c>
      <c r="C107">
        <f t="shared" si="13"/>
        <v>0</v>
      </c>
      <c r="D107">
        <f t="shared" si="17"/>
        <v>0</v>
      </c>
      <c r="E107">
        <f t="shared" si="16"/>
        <v>0</v>
      </c>
    </row>
    <row r="108" spans="1:5" x14ac:dyDescent="0.2">
      <c r="A108">
        <f t="shared" si="15"/>
        <v>150000000</v>
      </c>
      <c r="B108">
        <f t="shared" si="12"/>
        <v>0</v>
      </c>
      <c r="C108">
        <f t="shared" si="13"/>
        <v>0</v>
      </c>
      <c r="D108">
        <f t="shared" si="17"/>
        <v>0</v>
      </c>
      <c r="E108">
        <f t="shared" si="16"/>
        <v>0</v>
      </c>
    </row>
    <row r="109" spans="1:5" x14ac:dyDescent="0.2">
      <c r="A109">
        <f t="shared" si="15"/>
        <v>180000000</v>
      </c>
      <c r="B109">
        <f t="shared" si="12"/>
        <v>0</v>
      </c>
      <c r="C109">
        <f t="shared" si="13"/>
        <v>0</v>
      </c>
      <c r="D109">
        <f t="shared" si="17"/>
        <v>0</v>
      </c>
      <c r="E109">
        <f t="shared" si="16"/>
        <v>0</v>
      </c>
    </row>
    <row r="110" spans="1:5" x14ac:dyDescent="0.2">
      <c r="A110">
        <f t="shared" si="15"/>
        <v>220000000</v>
      </c>
      <c r="B110">
        <f t="shared" si="12"/>
        <v>0</v>
      </c>
      <c r="C110">
        <f t="shared" si="13"/>
        <v>0</v>
      </c>
      <c r="D110">
        <f t="shared" si="17"/>
        <v>0</v>
      </c>
      <c r="E110">
        <f t="shared" si="16"/>
        <v>0</v>
      </c>
    </row>
    <row r="111" spans="1:5" x14ac:dyDescent="0.2">
      <c r="A111">
        <f t="shared" si="15"/>
        <v>270000000</v>
      </c>
      <c r="B111">
        <f t="shared" si="12"/>
        <v>0</v>
      </c>
      <c r="C111">
        <f t="shared" si="13"/>
        <v>0</v>
      </c>
      <c r="D111">
        <f t="shared" si="17"/>
        <v>0</v>
      </c>
      <c r="E111">
        <f t="shared" si="16"/>
        <v>0</v>
      </c>
    </row>
    <row r="112" spans="1:5" x14ac:dyDescent="0.2">
      <c r="A112">
        <f t="shared" si="15"/>
        <v>330000000</v>
      </c>
      <c r="B112">
        <f t="shared" si="12"/>
        <v>0</v>
      </c>
      <c r="C112">
        <f t="shared" si="13"/>
        <v>0</v>
      </c>
      <c r="D112">
        <f t="shared" si="17"/>
        <v>0</v>
      </c>
      <c r="E112">
        <f t="shared" si="16"/>
        <v>0</v>
      </c>
    </row>
    <row r="113" spans="1:5" x14ac:dyDescent="0.2">
      <c r="A113">
        <f t="shared" si="15"/>
        <v>390000000</v>
      </c>
      <c r="B113">
        <f t="shared" si="12"/>
        <v>0</v>
      </c>
      <c r="C113">
        <f t="shared" si="13"/>
        <v>0</v>
      </c>
      <c r="D113">
        <f t="shared" si="17"/>
        <v>0</v>
      </c>
      <c r="E113">
        <f t="shared" si="16"/>
        <v>0</v>
      </c>
    </row>
    <row r="114" spans="1:5" x14ac:dyDescent="0.2">
      <c r="A114">
        <f t="shared" si="15"/>
        <v>470000000</v>
      </c>
      <c r="B114">
        <f t="shared" si="12"/>
        <v>0</v>
      </c>
      <c r="C114">
        <f t="shared" si="13"/>
        <v>0</v>
      </c>
      <c r="D114">
        <f t="shared" si="17"/>
        <v>0</v>
      </c>
      <c r="E114">
        <f t="shared" si="16"/>
        <v>0</v>
      </c>
    </row>
    <row r="115" spans="1:5" x14ac:dyDescent="0.2">
      <c r="A115">
        <f t="shared" si="15"/>
        <v>560000000</v>
      </c>
      <c r="B115">
        <f t="shared" si="12"/>
        <v>0</v>
      </c>
      <c r="C115">
        <f t="shared" si="13"/>
        <v>0</v>
      </c>
      <c r="D115">
        <f t="shared" si="17"/>
        <v>0</v>
      </c>
      <c r="E115">
        <f t="shared" si="16"/>
        <v>0</v>
      </c>
    </row>
    <row r="116" spans="1:5" x14ac:dyDescent="0.2">
      <c r="A116">
        <f t="shared" si="15"/>
        <v>680000000</v>
      </c>
      <c r="B116">
        <f t="shared" si="12"/>
        <v>0</v>
      </c>
      <c r="C116">
        <f t="shared" si="13"/>
        <v>0</v>
      </c>
      <c r="D116">
        <f t="shared" si="17"/>
        <v>0</v>
      </c>
      <c r="E116">
        <f t="shared" si="16"/>
        <v>0</v>
      </c>
    </row>
    <row r="117" spans="1:5" x14ac:dyDescent="0.2">
      <c r="A117">
        <f t="shared" si="15"/>
        <v>820000000</v>
      </c>
      <c r="B117">
        <f t="shared" si="12"/>
        <v>0</v>
      </c>
      <c r="C117">
        <f t="shared" si="13"/>
        <v>0</v>
      </c>
      <c r="D117">
        <f t="shared" si="17"/>
        <v>0</v>
      </c>
      <c r="E117">
        <f t="shared" si="16"/>
        <v>0</v>
      </c>
    </row>
    <row r="118" spans="1:5" x14ac:dyDescent="0.2">
      <c r="A118">
        <f t="shared" si="15"/>
        <v>1000000000</v>
      </c>
      <c r="B118">
        <f t="shared" si="12"/>
        <v>0</v>
      </c>
      <c r="C118">
        <f t="shared" si="13"/>
        <v>0</v>
      </c>
      <c r="D118">
        <f t="shared" si="17"/>
        <v>0</v>
      </c>
      <c r="E118">
        <f t="shared" si="16"/>
        <v>0</v>
      </c>
    </row>
    <row r="119" spans="1:5" x14ac:dyDescent="0.2">
      <c r="A119">
        <f t="shared" si="15"/>
        <v>1200000000</v>
      </c>
      <c r="B119">
        <f t="shared" si="12"/>
        <v>0</v>
      </c>
      <c r="C119">
        <f t="shared" si="13"/>
        <v>0</v>
      </c>
      <c r="D119">
        <f t="shared" si="17"/>
        <v>0</v>
      </c>
      <c r="E119">
        <f t="shared" si="16"/>
        <v>0</v>
      </c>
    </row>
    <row r="120" spans="1:5" x14ac:dyDescent="0.2">
      <c r="A120">
        <f t="shared" si="15"/>
        <v>1500000000</v>
      </c>
      <c r="B120">
        <f t="shared" si="12"/>
        <v>0</v>
      </c>
      <c r="C120">
        <f t="shared" si="13"/>
        <v>0</v>
      </c>
      <c r="D120">
        <f t="shared" si="17"/>
        <v>0</v>
      </c>
      <c r="E120">
        <f t="shared" si="16"/>
        <v>0</v>
      </c>
    </row>
    <row r="121" spans="1:5" x14ac:dyDescent="0.2">
      <c r="A121">
        <f t="shared" si="15"/>
        <v>1800000000</v>
      </c>
      <c r="B121">
        <f t="shared" si="12"/>
        <v>0</v>
      </c>
      <c r="C121">
        <f t="shared" si="13"/>
        <v>0</v>
      </c>
      <c r="D121">
        <f t="shared" si="17"/>
        <v>0</v>
      </c>
      <c r="E121">
        <f t="shared" si="16"/>
        <v>0</v>
      </c>
    </row>
    <row r="122" spans="1:5" x14ac:dyDescent="0.2">
      <c r="A122">
        <f t="shared" si="15"/>
        <v>2200000000</v>
      </c>
      <c r="B122">
        <f t="shared" si="12"/>
        <v>0</v>
      </c>
      <c r="C122">
        <f t="shared" si="13"/>
        <v>0</v>
      </c>
      <c r="D122">
        <f t="shared" si="17"/>
        <v>0</v>
      </c>
      <c r="E122">
        <f t="shared" si="16"/>
        <v>0</v>
      </c>
    </row>
    <row r="123" spans="1:5" x14ac:dyDescent="0.2">
      <c r="A123">
        <f t="shared" si="15"/>
        <v>2700000000</v>
      </c>
      <c r="B123">
        <f t="shared" si="12"/>
        <v>0</v>
      </c>
      <c r="C123">
        <f t="shared" si="13"/>
        <v>0</v>
      </c>
      <c r="D123">
        <f t="shared" si="17"/>
        <v>0</v>
      </c>
      <c r="E123">
        <f t="shared" si="16"/>
        <v>0</v>
      </c>
    </row>
    <row r="124" spans="1:5" x14ac:dyDescent="0.2">
      <c r="A124">
        <f t="shared" si="15"/>
        <v>3300000000</v>
      </c>
      <c r="B124">
        <f t="shared" si="12"/>
        <v>0</v>
      </c>
      <c r="C124">
        <f t="shared" si="13"/>
        <v>0</v>
      </c>
      <c r="D124">
        <f t="shared" si="17"/>
        <v>0</v>
      </c>
      <c r="E124">
        <f t="shared" si="16"/>
        <v>0</v>
      </c>
    </row>
    <row r="125" spans="1:5" x14ac:dyDescent="0.2">
      <c r="A125">
        <f t="shared" si="15"/>
        <v>3900000000</v>
      </c>
      <c r="B125">
        <f t="shared" si="12"/>
        <v>0</v>
      </c>
      <c r="C125">
        <f t="shared" si="13"/>
        <v>0</v>
      </c>
      <c r="D125">
        <f t="shared" si="17"/>
        <v>0</v>
      </c>
      <c r="E125">
        <f t="shared" si="16"/>
        <v>0</v>
      </c>
    </row>
    <row r="126" spans="1:5" x14ac:dyDescent="0.2">
      <c r="A126">
        <f t="shared" si="15"/>
        <v>4700000000</v>
      </c>
      <c r="B126">
        <f t="shared" si="12"/>
        <v>0</v>
      </c>
      <c r="C126">
        <f t="shared" si="13"/>
        <v>0</v>
      </c>
      <c r="D126">
        <f t="shared" si="17"/>
        <v>0</v>
      </c>
      <c r="E126">
        <f t="shared" si="16"/>
        <v>0</v>
      </c>
    </row>
    <row r="127" spans="1:5" x14ac:dyDescent="0.2">
      <c r="A127">
        <f t="shared" si="15"/>
        <v>5600000000</v>
      </c>
      <c r="B127">
        <f t="shared" si="12"/>
        <v>0</v>
      </c>
      <c r="C127">
        <f t="shared" si="13"/>
        <v>0</v>
      </c>
      <c r="D127">
        <f t="shared" si="17"/>
        <v>0</v>
      </c>
      <c r="E127">
        <f t="shared" si="16"/>
        <v>0</v>
      </c>
    </row>
    <row r="128" spans="1:5" x14ac:dyDescent="0.2">
      <c r="A128">
        <f t="shared" si="15"/>
        <v>6800000000</v>
      </c>
      <c r="B128">
        <f t="shared" si="12"/>
        <v>0</v>
      </c>
      <c r="C128">
        <f t="shared" si="13"/>
        <v>0</v>
      </c>
      <c r="D128">
        <f t="shared" si="17"/>
        <v>0</v>
      </c>
      <c r="E128">
        <f t="shared" si="16"/>
        <v>0</v>
      </c>
    </row>
    <row r="129" spans="1:5" x14ac:dyDescent="0.2">
      <c r="A129">
        <f t="shared" si="15"/>
        <v>8200000000</v>
      </c>
      <c r="B129">
        <f t="shared" si="12"/>
        <v>0</v>
      </c>
      <c r="C129">
        <f t="shared" si="13"/>
        <v>0</v>
      </c>
      <c r="D129">
        <f t="shared" si="17"/>
        <v>0</v>
      </c>
      <c r="E129">
        <f t="shared" si="16"/>
        <v>0</v>
      </c>
    </row>
    <row r="130" spans="1:5" x14ac:dyDescent="0.2">
      <c r="A130">
        <f t="shared" si="15"/>
        <v>10000000000</v>
      </c>
      <c r="B130">
        <f t="shared" si="12"/>
        <v>0</v>
      </c>
      <c r="C130">
        <f t="shared" si="13"/>
        <v>0</v>
      </c>
      <c r="D130">
        <f t="shared" si="17"/>
        <v>0</v>
      </c>
      <c r="E130">
        <f t="shared" si="16"/>
        <v>0</v>
      </c>
    </row>
    <row r="131" spans="1:5" x14ac:dyDescent="0.2">
      <c r="A131">
        <f t="shared" si="15"/>
        <v>12000000000</v>
      </c>
      <c r="B131">
        <f t="shared" si="12"/>
        <v>0</v>
      </c>
      <c r="C131">
        <f t="shared" si="13"/>
        <v>0</v>
      </c>
      <c r="D131">
        <f t="shared" si="17"/>
        <v>0</v>
      </c>
      <c r="E131">
        <f t="shared" si="16"/>
        <v>0</v>
      </c>
    </row>
    <row r="132" spans="1:5" x14ac:dyDescent="0.2">
      <c r="A132">
        <f t="shared" si="15"/>
        <v>15000000000</v>
      </c>
      <c r="B132">
        <f t="shared" si="12"/>
        <v>0</v>
      </c>
      <c r="C132">
        <f t="shared" si="13"/>
        <v>0</v>
      </c>
      <c r="D132">
        <f t="shared" si="17"/>
        <v>0</v>
      </c>
      <c r="E132">
        <f t="shared" si="16"/>
        <v>0</v>
      </c>
    </row>
    <row r="133" spans="1:5" x14ac:dyDescent="0.2">
      <c r="A133">
        <f t="shared" si="15"/>
        <v>18000000000</v>
      </c>
      <c r="B133">
        <f t="shared" si="12"/>
        <v>0</v>
      </c>
      <c r="C133">
        <f t="shared" si="13"/>
        <v>0</v>
      </c>
      <c r="D133">
        <f t="shared" si="17"/>
        <v>0</v>
      </c>
      <c r="E133">
        <f t="shared" si="16"/>
        <v>0</v>
      </c>
    </row>
    <row r="134" spans="1:5" x14ac:dyDescent="0.2">
      <c r="A134">
        <f t="shared" si="15"/>
        <v>22000000000</v>
      </c>
      <c r="B134">
        <f t="shared" si="12"/>
        <v>0</v>
      </c>
      <c r="C134">
        <f t="shared" ref="C134:D159" si="18">IF(IF((C$3*10^12-$A135)*(C$3*10^12-$A134)*-1&lt;0,0,1)*IF(ABS(C$3*10^12-$A135)&gt;(C$3*10^12-$A134),$A134,$A135)=C135,0,IF((C$3*10^12-$A135)*(C$3*10^12-$A134)*-1&lt;0,0,1)*IF(ABS(C$3*10^12-$A135)&gt;(C$3*10^12-$A134),$A134,$A135))</f>
        <v>0</v>
      </c>
      <c r="D134">
        <f t="shared" si="17"/>
        <v>0</v>
      </c>
      <c r="E134">
        <f t="shared" ref="E134:E159" si="19">IF(IF((E$3*10^12-$A135)*(E$3*10^12-$A134)*-1&lt;0,0,1)*IF(ABS(E$3*10^12-$A135)&gt;(E$3*10^12-$A134),$A134,$A135)=E135,0,IF((E$3*10^12-$A135)*(E$3*10^12-$A134)*-1&lt;0,0,1)*IF(ABS(E$3*10^12-$A135)&gt;(E$3*10^12-$A134),$A134,$A135))</f>
        <v>0</v>
      </c>
    </row>
    <row r="135" spans="1:5" x14ac:dyDescent="0.2">
      <c r="A135">
        <f t="shared" si="15"/>
        <v>27000000000</v>
      </c>
      <c r="B135">
        <f t="shared" ref="B135:B159" si="20">IF(IF((B$3*10^12-$A136)*(B$3*10^12-$A135)*-1&lt;0,0,1)*IF(ABS(B$3*10^12-$A136)&gt;(B$3*10^12-$A135),$A135,$A136)=B136,0,IF((B$3*10^12-$A136)*(B$3*10^12-$A135)*-1&lt;0,0,1)*IF(ABS(B$3*10^12-$A136)&gt;(B$3*10^12-$A135),$A135,$A136))</f>
        <v>0</v>
      </c>
      <c r="C135">
        <f t="shared" si="18"/>
        <v>0</v>
      </c>
      <c r="D135">
        <f t="shared" si="18"/>
        <v>0</v>
      </c>
      <c r="E135">
        <f t="shared" si="19"/>
        <v>0</v>
      </c>
    </row>
    <row r="136" spans="1:5" x14ac:dyDescent="0.2">
      <c r="A136">
        <f t="shared" si="15"/>
        <v>33000000000</v>
      </c>
      <c r="B136">
        <f t="shared" si="20"/>
        <v>0</v>
      </c>
      <c r="C136">
        <f t="shared" si="18"/>
        <v>0</v>
      </c>
      <c r="D136">
        <f t="shared" si="18"/>
        <v>0</v>
      </c>
      <c r="E136">
        <f t="shared" si="19"/>
        <v>0</v>
      </c>
    </row>
    <row r="137" spans="1:5" x14ac:dyDescent="0.2">
      <c r="A137">
        <f t="shared" si="15"/>
        <v>39000000000</v>
      </c>
      <c r="B137">
        <f t="shared" si="20"/>
        <v>0</v>
      </c>
      <c r="C137">
        <f t="shared" si="18"/>
        <v>0</v>
      </c>
      <c r="D137">
        <f t="shared" si="18"/>
        <v>0</v>
      </c>
      <c r="E137">
        <f t="shared" si="19"/>
        <v>0</v>
      </c>
    </row>
    <row r="138" spans="1:5" x14ac:dyDescent="0.2">
      <c r="A138">
        <f t="shared" si="15"/>
        <v>47000000000</v>
      </c>
      <c r="B138">
        <f t="shared" si="20"/>
        <v>0</v>
      </c>
      <c r="C138">
        <f t="shared" si="18"/>
        <v>0</v>
      </c>
      <c r="D138">
        <f t="shared" si="18"/>
        <v>0</v>
      </c>
      <c r="E138">
        <f t="shared" si="19"/>
        <v>0</v>
      </c>
    </row>
    <row r="139" spans="1:5" x14ac:dyDescent="0.2">
      <c r="A139">
        <f t="shared" si="15"/>
        <v>56000000000</v>
      </c>
      <c r="B139">
        <f t="shared" si="20"/>
        <v>0</v>
      </c>
      <c r="C139">
        <f t="shared" si="18"/>
        <v>0</v>
      </c>
      <c r="D139">
        <f t="shared" si="18"/>
        <v>0</v>
      </c>
      <c r="E139">
        <f t="shared" si="19"/>
        <v>0</v>
      </c>
    </row>
    <row r="140" spans="1:5" x14ac:dyDescent="0.2">
      <c r="A140">
        <f t="shared" si="15"/>
        <v>68000000000</v>
      </c>
      <c r="B140">
        <f t="shared" si="20"/>
        <v>0</v>
      </c>
      <c r="C140">
        <f t="shared" si="18"/>
        <v>0</v>
      </c>
      <c r="D140">
        <f t="shared" si="18"/>
        <v>0</v>
      </c>
      <c r="E140">
        <f t="shared" si="19"/>
        <v>0</v>
      </c>
    </row>
    <row r="141" spans="1:5" x14ac:dyDescent="0.2">
      <c r="A141">
        <f t="shared" si="15"/>
        <v>82000000000</v>
      </c>
      <c r="B141">
        <f t="shared" si="20"/>
        <v>0</v>
      </c>
      <c r="C141">
        <f t="shared" si="18"/>
        <v>0</v>
      </c>
      <c r="D141">
        <f t="shared" si="18"/>
        <v>0</v>
      </c>
      <c r="E141">
        <f t="shared" si="19"/>
        <v>0</v>
      </c>
    </row>
    <row r="142" spans="1:5" x14ac:dyDescent="0.2">
      <c r="A142">
        <f t="shared" si="15"/>
        <v>100000000000</v>
      </c>
      <c r="B142">
        <f t="shared" si="20"/>
        <v>0</v>
      </c>
      <c r="C142">
        <f t="shared" si="18"/>
        <v>0</v>
      </c>
      <c r="D142">
        <f t="shared" si="18"/>
        <v>0</v>
      </c>
      <c r="E142">
        <f t="shared" si="19"/>
        <v>0</v>
      </c>
    </row>
    <row r="143" spans="1:5" x14ac:dyDescent="0.2">
      <c r="A143">
        <f t="shared" si="15"/>
        <v>120000000000</v>
      </c>
      <c r="B143">
        <f t="shared" si="20"/>
        <v>0</v>
      </c>
      <c r="C143">
        <f t="shared" si="18"/>
        <v>0</v>
      </c>
      <c r="D143">
        <f t="shared" si="18"/>
        <v>0</v>
      </c>
      <c r="E143">
        <f t="shared" si="19"/>
        <v>0</v>
      </c>
    </row>
    <row r="144" spans="1:5" x14ac:dyDescent="0.2">
      <c r="A144">
        <f t="shared" si="15"/>
        <v>150000000000</v>
      </c>
      <c r="B144">
        <f t="shared" si="20"/>
        <v>0</v>
      </c>
      <c r="C144">
        <f t="shared" si="18"/>
        <v>0</v>
      </c>
      <c r="D144">
        <f t="shared" si="18"/>
        <v>0</v>
      </c>
      <c r="E144">
        <f t="shared" si="19"/>
        <v>0</v>
      </c>
    </row>
    <row r="145" spans="1:5" x14ac:dyDescent="0.2">
      <c r="A145">
        <f t="shared" si="15"/>
        <v>180000000000</v>
      </c>
      <c r="B145">
        <f t="shared" si="20"/>
        <v>0</v>
      </c>
      <c r="C145">
        <f t="shared" si="18"/>
        <v>0</v>
      </c>
      <c r="D145">
        <f t="shared" si="18"/>
        <v>0</v>
      </c>
      <c r="E145">
        <f t="shared" si="19"/>
        <v>0</v>
      </c>
    </row>
    <row r="146" spans="1:5" x14ac:dyDescent="0.2">
      <c r="A146">
        <f t="shared" si="15"/>
        <v>220000000000</v>
      </c>
      <c r="B146">
        <f t="shared" si="20"/>
        <v>0</v>
      </c>
      <c r="C146">
        <f t="shared" si="18"/>
        <v>0</v>
      </c>
      <c r="D146">
        <f t="shared" si="18"/>
        <v>0</v>
      </c>
      <c r="E146">
        <f t="shared" si="19"/>
        <v>0</v>
      </c>
    </row>
    <row r="147" spans="1:5" x14ac:dyDescent="0.2">
      <c r="A147">
        <f t="shared" si="15"/>
        <v>270000000000</v>
      </c>
      <c r="B147">
        <f t="shared" si="20"/>
        <v>0</v>
      </c>
      <c r="C147">
        <f t="shared" si="18"/>
        <v>0</v>
      </c>
      <c r="D147">
        <f t="shared" si="18"/>
        <v>0</v>
      </c>
      <c r="E147">
        <f t="shared" si="19"/>
        <v>0</v>
      </c>
    </row>
    <row r="148" spans="1:5" x14ac:dyDescent="0.2">
      <c r="A148">
        <f t="shared" si="15"/>
        <v>330000000000</v>
      </c>
      <c r="B148">
        <f t="shared" si="20"/>
        <v>0</v>
      </c>
      <c r="C148">
        <f t="shared" si="18"/>
        <v>0</v>
      </c>
      <c r="D148">
        <f t="shared" si="18"/>
        <v>0</v>
      </c>
      <c r="E148">
        <f t="shared" si="19"/>
        <v>0</v>
      </c>
    </row>
    <row r="149" spans="1:5" x14ac:dyDescent="0.2">
      <c r="A149">
        <f t="shared" si="15"/>
        <v>390000000000</v>
      </c>
      <c r="B149">
        <f t="shared" si="20"/>
        <v>0</v>
      </c>
      <c r="C149">
        <f t="shared" si="18"/>
        <v>0</v>
      </c>
      <c r="D149">
        <f t="shared" si="18"/>
        <v>0</v>
      </c>
      <c r="E149">
        <f t="shared" si="19"/>
        <v>0</v>
      </c>
    </row>
    <row r="150" spans="1:5" x14ac:dyDescent="0.2">
      <c r="A150">
        <f t="shared" si="15"/>
        <v>470000000000</v>
      </c>
      <c r="B150">
        <f t="shared" si="20"/>
        <v>0</v>
      </c>
      <c r="C150">
        <f t="shared" si="18"/>
        <v>0</v>
      </c>
      <c r="D150">
        <f t="shared" si="18"/>
        <v>0</v>
      </c>
      <c r="E150">
        <f t="shared" si="19"/>
        <v>0</v>
      </c>
    </row>
    <row r="151" spans="1:5" x14ac:dyDescent="0.2">
      <c r="A151">
        <f t="shared" si="15"/>
        <v>560000000000</v>
      </c>
      <c r="B151">
        <f t="shared" si="20"/>
        <v>0</v>
      </c>
      <c r="C151">
        <f t="shared" si="18"/>
        <v>0</v>
      </c>
      <c r="D151">
        <f t="shared" si="18"/>
        <v>0</v>
      </c>
      <c r="E151">
        <f t="shared" si="19"/>
        <v>0</v>
      </c>
    </row>
    <row r="152" spans="1:5" x14ac:dyDescent="0.2">
      <c r="A152">
        <f t="shared" si="15"/>
        <v>680000000000</v>
      </c>
      <c r="B152">
        <f t="shared" si="20"/>
        <v>0</v>
      </c>
      <c r="C152">
        <f t="shared" si="18"/>
        <v>0</v>
      </c>
      <c r="D152">
        <f t="shared" si="18"/>
        <v>0</v>
      </c>
      <c r="E152">
        <f t="shared" si="19"/>
        <v>0</v>
      </c>
    </row>
    <row r="153" spans="1:5" x14ac:dyDescent="0.2">
      <c r="A153">
        <f t="shared" si="15"/>
        <v>820000000000</v>
      </c>
      <c r="B153">
        <f t="shared" si="20"/>
        <v>0</v>
      </c>
      <c r="C153">
        <f t="shared" si="18"/>
        <v>0</v>
      </c>
      <c r="D153">
        <f t="shared" si="18"/>
        <v>0</v>
      </c>
      <c r="E153">
        <f t="shared" si="19"/>
        <v>0</v>
      </c>
    </row>
    <row r="154" spans="1:5" x14ac:dyDescent="0.2">
      <c r="A154">
        <f t="shared" si="15"/>
        <v>1000000000000</v>
      </c>
      <c r="B154">
        <f t="shared" si="20"/>
        <v>0</v>
      </c>
      <c r="C154">
        <f t="shared" si="18"/>
        <v>0</v>
      </c>
      <c r="D154">
        <f t="shared" si="18"/>
        <v>0</v>
      </c>
      <c r="E154">
        <f t="shared" si="19"/>
        <v>0</v>
      </c>
    </row>
    <row r="155" spans="1:5" x14ac:dyDescent="0.2">
      <c r="A155">
        <f t="shared" si="15"/>
        <v>1200000000000</v>
      </c>
      <c r="B155">
        <f t="shared" si="20"/>
        <v>0</v>
      </c>
      <c r="C155">
        <f t="shared" si="18"/>
        <v>0</v>
      </c>
      <c r="D155">
        <f t="shared" si="18"/>
        <v>0</v>
      </c>
      <c r="E155">
        <f t="shared" si="19"/>
        <v>0</v>
      </c>
    </row>
    <row r="156" spans="1:5" x14ac:dyDescent="0.2">
      <c r="A156">
        <f t="shared" si="15"/>
        <v>1500000000000</v>
      </c>
      <c r="B156">
        <f t="shared" si="20"/>
        <v>0</v>
      </c>
      <c r="C156">
        <f t="shared" si="18"/>
        <v>0</v>
      </c>
      <c r="D156">
        <f t="shared" si="18"/>
        <v>0</v>
      </c>
      <c r="E156">
        <f t="shared" si="19"/>
        <v>0</v>
      </c>
    </row>
    <row r="157" spans="1:5" x14ac:dyDescent="0.2">
      <c r="A157">
        <f t="shared" si="15"/>
        <v>1800000000000</v>
      </c>
      <c r="B157">
        <f t="shared" si="20"/>
        <v>0</v>
      </c>
      <c r="C157">
        <f t="shared" si="18"/>
        <v>0</v>
      </c>
      <c r="D157">
        <f t="shared" si="18"/>
        <v>0</v>
      </c>
      <c r="E157">
        <f t="shared" si="19"/>
        <v>0</v>
      </c>
    </row>
    <row r="158" spans="1:5" x14ac:dyDescent="0.2">
      <c r="A158">
        <f t="shared" si="15"/>
        <v>2200000000000</v>
      </c>
      <c r="B158">
        <f t="shared" si="20"/>
        <v>0</v>
      </c>
      <c r="C158">
        <f t="shared" si="18"/>
        <v>0</v>
      </c>
      <c r="D158">
        <f t="shared" si="18"/>
        <v>0</v>
      </c>
      <c r="E158">
        <f t="shared" si="19"/>
        <v>0</v>
      </c>
    </row>
    <row r="159" spans="1:5" x14ac:dyDescent="0.2">
      <c r="A159" s="16">
        <f t="shared" si="15"/>
        <v>2700000000000</v>
      </c>
      <c r="B159">
        <f t="shared" si="20"/>
        <v>2700000000000</v>
      </c>
      <c r="C159">
        <f t="shared" si="18"/>
        <v>0</v>
      </c>
      <c r="D159">
        <f t="shared" si="18"/>
        <v>0</v>
      </c>
      <c r="E159">
        <f t="shared" si="19"/>
        <v>2700000000000</v>
      </c>
    </row>
  </sheetData>
  <phoneticPr fontId="6" type="noConversion"/>
  <pageMargins left="0.75" right="0.75" top="1" bottom="1" header="0.5" footer="0.5"/>
  <pageSetup orientation="portrait" r:id="rId1"/>
  <headerFooter alignWithMargins="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0000"/>
  </sheetPr>
  <dimension ref="A1:Q55"/>
  <sheetViews>
    <sheetView topLeftCell="A4" zoomScaleNormal="100" workbookViewId="0">
      <selection activeCell="A29" sqref="A29"/>
    </sheetView>
  </sheetViews>
  <sheetFormatPr defaultRowHeight="12.75" x14ac:dyDescent="0.2"/>
  <cols>
    <col min="1" max="1" width="9.5703125" style="116" customWidth="1"/>
    <col min="2" max="2" width="11.42578125" style="116" customWidth="1"/>
    <col min="3" max="3" width="13.42578125" style="116" customWidth="1"/>
    <col min="4" max="4" width="20.140625" style="116" customWidth="1"/>
    <col min="5" max="5" width="17.28515625" style="116" customWidth="1"/>
    <col min="6" max="6" width="13.5703125" style="116" customWidth="1"/>
    <col min="7" max="7" width="16.140625" style="116" customWidth="1"/>
    <col min="8" max="8" width="18.140625" style="116" customWidth="1"/>
    <col min="9" max="9" width="10.85546875" style="116" customWidth="1"/>
    <col min="10" max="10" width="15.85546875" style="116" customWidth="1"/>
    <col min="11" max="11" width="11.85546875" style="476" customWidth="1"/>
    <col min="12" max="12" width="7.85546875" style="475" customWidth="1"/>
    <col min="13" max="13" width="11.7109375" style="116" customWidth="1"/>
    <col min="14" max="254" width="9.140625" style="116"/>
    <col min="255" max="255" width="8.7109375" style="116" bestFit="1" customWidth="1"/>
    <col min="256" max="256" width="13.28515625" style="116" customWidth="1"/>
    <col min="257" max="257" width="16.140625" style="116" bestFit="1" customWidth="1"/>
    <col min="258" max="258" width="23.5703125" style="116" customWidth="1"/>
    <col min="259" max="259" width="17.28515625" style="116" customWidth="1"/>
    <col min="260" max="260" width="20.5703125" style="116" bestFit="1" customWidth="1"/>
    <col min="261" max="261" width="17.140625" style="116" customWidth="1"/>
    <col min="262" max="262" width="21.85546875" style="116" bestFit="1" customWidth="1"/>
    <col min="263" max="263" width="17.140625" style="116" bestFit="1" customWidth="1"/>
    <col min="264" max="264" width="18.140625" style="116" bestFit="1" customWidth="1"/>
    <col min="265" max="265" width="26.42578125" style="116" customWidth="1"/>
    <col min="266" max="510" width="9.140625" style="116"/>
    <col min="511" max="511" width="8.7109375" style="116" bestFit="1" customWidth="1"/>
    <col min="512" max="512" width="13.28515625" style="116" customWidth="1"/>
    <col min="513" max="513" width="16.140625" style="116" bestFit="1" customWidth="1"/>
    <col min="514" max="514" width="23.5703125" style="116" customWidth="1"/>
    <col min="515" max="515" width="17.28515625" style="116" customWidth="1"/>
    <col min="516" max="516" width="20.5703125" style="116" bestFit="1" customWidth="1"/>
    <col min="517" max="517" width="17.140625" style="116" customWidth="1"/>
    <col min="518" max="518" width="21.85546875" style="116" bestFit="1" customWidth="1"/>
    <col min="519" max="519" width="17.140625" style="116" bestFit="1" customWidth="1"/>
    <col min="520" max="520" width="18.140625" style="116" bestFit="1" customWidth="1"/>
    <col min="521" max="521" width="26.42578125" style="116" customWidth="1"/>
    <col min="522" max="766" width="9.140625" style="116"/>
    <col min="767" max="767" width="8.7109375" style="116" bestFit="1" customWidth="1"/>
    <col min="768" max="768" width="13.28515625" style="116" customWidth="1"/>
    <col min="769" max="769" width="16.140625" style="116" bestFit="1" customWidth="1"/>
    <col min="770" max="770" width="23.5703125" style="116" customWidth="1"/>
    <col min="771" max="771" width="17.28515625" style="116" customWidth="1"/>
    <col min="772" max="772" width="20.5703125" style="116" bestFit="1" customWidth="1"/>
    <col min="773" max="773" width="17.140625" style="116" customWidth="1"/>
    <col min="774" max="774" width="21.85546875" style="116" bestFit="1" customWidth="1"/>
    <col min="775" max="775" width="17.140625" style="116" bestFit="1" customWidth="1"/>
    <col min="776" max="776" width="18.140625" style="116" bestFit="1" customWidth="1"/>
    <col min="777" max="777" width="26.42578125" style="116" customWidth="1"/>
    <col min="778" max="1022" width="9.140625" style="116"/>
    <col min="1023" max="1023" width="8.7109375" style="116" bestFit="1" customWidth="1"/>
    <col min="1024" max="1024" width="13.28515625" style="116" customWidth="1"/>
    <col min="1025" max="1025" width="16.140625" style="116" bestFit="1" customWidth="1"/>
    <col min="1026" max="1026" width="23.5703125" style="116" customWidth="1"/>
    <col min="1027" max="1027" width="17.28515625" style="116" customWidth="1"/>
    <col min="1028" max="1028" width="20.5703125" style="116" bestFit="1" customWidth="1"/>
    <col min="1029" max="1029" width="17.140625" style="116" customWidth="1"/>
    <col min="1030" max="1030" width="21.85546875" style="116" bestFit="1" customWidth="1"/>
    <col min="1031" max="1031" width="17.140625" style="116" bestFit="1" customWidth="1"/>
    <col min="1032" max="1032" width="18.140625" style="116" bestFit="1" customWidth="1"/>
    <col min="1033" max="1033" width="26.42578125" style="116" customWidth="1"/>
    <col min="1034" max="1278" width="9.140625" style="116"/>
    <col min="1279" max="1279" width="8.7109375" style="116" bestFit="1" customWidth="1"/>
    <col min="1280" max="1280" width="13.28515625" style="116" customWidth="1"/>
    <col min="1281" max="1281" width="16.140625" style="116" bestFit="1" customWidth="1"/>
    <col min="1282" max="1282" width="23.5703125" style="116" customWidth="1"/>
    <col min="1283" max="1283" width="17.28515625" style="116" customWidth="1"/>
    <col min="1284" max="1284" width="20.5703125" style="116" bestFit="1" customWidth="1"/>
    <col min="1285" max="1285" width="17.140625" style="116" customWidth="1"/>
    <col min="1286" max="1286" width="21.85546875" style="116" bestFit="1" customWidth="1"/>
    <col min="1287" max="1287" width="17.140625" style="116" bestFit="1" customWidth="1"/>
    <col min="1288" max="1288" width="18.140625" style="116" bestFit="1" customWidth="1"/>
    <col min="1289" max="1289" width="26.42578125" style="116" customWidth="1"/>
    <col min="1290" max="1534" width="9.140625" style="116"/>
    <col min="1535" max="1535" width="8.7109375" style="116" bestFit="1" customWidth="1"/>
    <col min="1536" max="1536" width="13.28515625" style="116" customWidth="1"/>
    <col min="1537" max="1537" width="16.140625" style="116" bestFit="1" customWidth="1"/>
    <col min="1538" max="1538" width="23.5703125" style="116" customWidth="1"/>
    <col min="1539" max="1539" width="17.28515625" style="116" customWidth="1"/>
    <col min="1540" max="1540" width="20.5703125" style="116" bestFit="1" customWidth="1"/>
    <col min="1541" max="1541" width="17.140625" style="116" customWidth="1"/>
    <col min="1542" max="1542" width="21.85546875" style="116" bestFit="1" customWidth="1"/>
    <col min="1543" max="1543" width="17.140625" style="116" bestFit="1" customWidth="1"/>
    <col min="1544" max="1544" width="18.140625" style="116" bestFit="1" customWidth="1"/>
    <col min="1545" max="1545" width="26.42578125" style="116" customWidth="1"/>
    <col min="1546" max="1790" width="9.140625" style="116"/>
    <col min="1791" max="1791" width="8.7109375" style="116" bestFit="1" customWidth="1"/>
    <col min="1792" max="1792" width="13.28515625" style="116" customWidth="1"/>
    <col min="1793" max="1793" width="16.140625" style="116" bestFit="1" customWidth="1"/>
    <col min="1794" max="1794" width="23.5703125" style="116" customWidth="1"/>
    <col min="1795" max="1795" width="17.28515625" style="116" customWidth="1"/>
    <col min="1796" max="1796" width="20.5703125" style="116" bestFit="1" customWidth="1"/>
    <col min="1797" max="1797" width="17.140625" style="116" customWidth="1"/>
    <col min="1798" max="1798" width="21.85546875" style="116" bestFit="1" customWidth="1"/>
    <col min="1799" max="1799" width="17.140625" style="116" bestFit="1" customWidth="1"/>
    <col min="1800" max="1800" width="18.140625" style="116" bestFit="1" customWidth="1"/>
    <col min="1801" max="1801" width="26.42578125" style="116" customWidth="1"/>
    <col min="1802" max="2046" width="9.140625" style="116"/>
    <col min="2047" max="2047" width="8.7109375" style="116" bestFit="1" customWidth="1"/>
    <col min="2048" max="2048" width="13.28515625" style="116" customWidth="1"/>
    <col min="2049" max="2049" width="16.140625" style="116" bestFit="1" customWidth="1"/>
    <col min="2050" max="2050" width="23.5703125" style="116" customWidth="1"/>
    <col min="2051" max="2051" width="17.28515625" style="116" customWidth="1"/>
    <col min="2052" max="2052" width="20.5703125" style="116" bestFit="1" customWidth="1"/>
    <col min="2053" max="2053" width="17.140625" style="116" customWidth="1"/>
    <col min="2054" max="2054" width="21.85546875" style="116" bestFit="1" customWidth="1"/>
    <col min="2055" max="2055" width="17.140625" style="116" bestFit="1" customWidth="1"/>
    <col min="2056" max="2056" width="18.140625" style="116" bestFit="1" customWidth="1"/>
    <col min="2057" max="2057" width="26.42578125" style="116" customWidth="1"/>
    <col min="2058" max="2302" width="9.140625" style="116"/>
    <col min="2303" max="2303" width="8.7109375" style="116" bestFit="1" customWidth="1"/>
    <col min="2304" max="2304" width="13.28515625" style="116" customWidth="1"/>
    <col min="2305" max="2305" width="16.140625" style="116" bestFit="1" customWidth="1"/>
    <col min="2306" max="2306" width="23.5703125" style="116" customWidth="1"/>
    <col min="2307" max="2307" width="17.28515625" style="116" customWidth="1"/>
    <col min="2308" max="2308" width="20.5703125" style="116" bestFit="1" customWidth="1"/>
    <col min="2309" max="2309" width="17.140625" style="116" customWidth="1"/>
    <col min="2310" max="2310" width="21.85546875" style="116" bestFit="1" customWidth="1"/>
    <col min="2311" max="2311" width="17.140625" style="116" bestFit="1" customWidth="1"/>
    <col min="2312" max="2312" width="18.140625" style="116" bestFit="1" customWidth="1"/>
    <col min="2313" max="2313" width="26.42578125" style="116" customWidth="1"/>
    <col min="2314" max="2558" width="9.140625" style="116"/>
    <col min="2559" max="2559" width="8.7109375" style="116" bestFit="1" customWidth="1"/>
    <col min="2560" max="2560" width="13.28515625" style="116" customWidth="1"/>
    <col min="2561" max="2561" width="16.140625" style="116" bestFit="1" customWidth="1"/>
    <col min="2562" max="2562" width="23.5703125" style="116" customWidth="1"/>
    <col min="2563" max="2563" width="17.28515625" style="116" customWidth="1"/>
    <col min="2564" max="2564" width="20.5703125" style="116" bestFit="1" customWidth="1"/>
    <col min="2565" max="2565" width="17.140625" style="116" customWidth="1"/>
    <col min="2566" max="2566" width="21.85546875" style="116" bestFit="1" customWidth="1"/>
    <col min="2567" max="2567" width="17.140625" style="116" bestFit="1" customWidth="1"/>
    <col min="2568" max="2568" width="18.140625" style="116" bestFit="1" customWidth="1"/>
    <col min="2569" max="2569" width="26.42578125" style="116" customWidth="1"/>
    <col min="2570" max="2814" width="9.140625" style="116"/>
    <col min="2815" max="2815" width="8.7109375" style="116" bestFit="1" customWidth="1"/>
    <col min="2816" max="2816" width="13.28515625" style="116" customWidth="1"/>
    <col min="2817" max="2817" width="16.140625" style="116" bestFit="1" customWidth="1"/>
    <col min="2818" max="2818" width="23.5703125" style="116" customWidth="1"/>
    <col min="2819" max="2819" width="17.28515625" style="116" customWidth="1"/>
    <col min="2820" max="2820" width="20.5703125" style="116" bestFit="1" customWidth="1"/>
    <col min="2821" max="2821" width="17.140625" style="116" customWidth="1"/>
    <col min="2822" max="2822" width="21.85546875" style="116" bestFit="1" customWidth="1"/>
    <col min="2823" max="2823" width="17.140625" style="116" bestFit="1" customWidth="1"/>
    <col min="2824" max="2824" width="18.140625" style="116" bestFit="1" customWidth="1"/>
    <col min="2825" max="2825" width="26.42578125" style="116" customWidth="1"/>
    <col min="2826" max="3070" width="9.140625" style="116"/>
    <col min="3071" max="3071" width="8.7109375" style="116" bestFit="1" customWidth="1"/>
    <col min="3072" max="3072" width="13.28515625" style="116" customWidth="1"/>
    <col min="3073" max="3073" width="16.140625" style="116" bestFit="1" customWidth="1"/>
    <col min="3074" max="3074" width="23.5703125" style="116" customWidth="1"/>
    <col min="3075" max="3075" width="17.28515625" style="116" customWidth="1"/>
    <col min="3076" max="3076" width="20.5703125" style="116" bestFit="1" customWidth="1"/>
    <col min="3077" max="3077" width="17.140625" style="116" customWidth="1"/>
    <col min="3078" max="3078" width="21.85546875" style="116" bestFit="1" customWidth="1"/>
    <col min="3079" max="3079" width="17.140625" style="116" bestFit="1" customWidth="1"/>
    <col min="3080" max="3080" width="18.140625" style="116" bestFit="1" customWidth="1"/>
    <col min="3081" max="3081" width="26.42578125" style="116" customWidth="1"/>
    <col min="3082" max="3326" width="9.140625" style="116"/>
    <col min="3327" max="3327" width="8.7109375" style="116" bestFit="1" customWidth="1"/>
    <col min="3328" max="3328" width="13.28515625" style="116" customWidth="1"/>
    <col min="3329" max="3329" width="16.140625" style="116" bestFit="1" customWidth="1"/>
    <col min="3330" max="3330" width="23.5703125" style="116" customWidth="1"/>
    <col min="3331" max="3331" width="17.28515625" style="116" customWidth="1"/>
    <col min="3332" max="3332" width="20.5703125" style="116" bestFit="1" customWidth="1"/>
    <col min="3333" max="3333" width="17.140625" style="116" customWidth="1"/>
    <col min="3334" max="3334" width="21.85546875" style="116" bestFit="1" customWidth="1"/>
    <col min="3335" max="3335" width="17.140625" style="116" bestFit="1" customWidth="1"/>
    <col min="3336" max="3336" width="18.140625" style="116" bestFit="1" customWidth="1"/>
    <col min="3337" max="3337" width="26.42578125" style="116" customWidth="1"/>
    <col min="3338" max="3582" width="9.140625" style="116"/>
    <col min="3583" max="3583" width="8.7109375" style="116" bestFit="1" customWidth="1"/>
    <col min="3584" max="3584" width="13.28515625" style="116" customWidth="1"/>
    <col min="3585" max="3585" width="16.140625" style="116" bestFit="1" customWidth="1"/>
    <col min="3586" max="3586" width="23.5703125" style="116" customWidth="1"/>
    <col min="3587" max="3587" width="17.28515625" style="116" customWidth="1"/>
    <col min="3588" max="3588" width="20.5703125" style="116" bestFit="1" customWidth="1"/>
    <col min="3589" max="3589" width="17.140625" style="116" customWidth="1"/>
    <col min="3590" max="3590" width="21.85546875" style="116" bestFit="1" customWidth="1"/>
    <col min="3591" max="3591" width="17.140625" style="116" bestFit="1" customWidth="1"/>
    <col min="3592" max="3592" width="18.140625" style="116" bestFit="1" customWidth="1"/>
    <col min="3593" max="3593" width="26.42578125" style="116" customWidth="1"/>
    <col min="3594" max="3838" width="9.140625" style="116"/>
    <col min="3839" max="3839" width="8.7109375" style="116" bestFit="1" customWidth="1"/>
    <col min="3840" max="3840" width="13.28515625" style="116" customWidth="1"/>
    <col min="3841" max="3841" width="16.140625" style="116" bestFit="1" customWidth="1"/>
    <col min="3842" max="3842" width="23.5703125" style="116" customWidth="1"/>
    <col min="3843" max="3843" width="17.28515625" style="116" customWidth="1"/>
    <col min="3844" max="3844" width="20.5703125" style="116" bestFit="1" customWidth="1"/>
    <col min="3845" max="3845" width="17.140625" style="116" customWidth="1"/>
    <col min="3846" max="3846" width="21.85546875" style="116" bestFit="1" customWidth="1"/>
    <col min="3847" max="3847" width="17.140625" style="116" bestFit="1" customWidth="1"/>
    <col min="3848" max="3848" width="18.140625" style="116" bestFit="1" customWidth="1"/>
    <col min="3849" max="3849" width="26.42578125" style="116" customWidth="1"/>
    <col min="3850" max="4094" width="9.140625" style="116"/>
    <col min="4095" max="4095" width="8.7109375" style="116" bestFit="1" customWidth="1"/>
    <col min="4096" max="4096" width="13.28515625" style="116" customWidth="1"/>
    <col min="4097" max="4097" width="16.140625" style="116" bestFit="1" customWidth="1"/>
    <col min="4098" max="4098" width="23.5703125" style="116" customWidth="1"/>
    <col min="4099" max="4099" width="17.28515625" style="116" customWidth="1"/>
    <col min="4100" max="4100" width="20.5703125" style="116" bestFit="1" customWidth="1"/>
    <col min="4101" max="4101" width="17.140625" style="116" customWidth="1"/>
    <col min="4102" max="4102" width="21.85546875" style="116" bestFit="1" customWidth="1"/>
    <col min="4103" max="4103" width="17.140625" style="116" bestFit="1" customWidth="1"/>
    <col min="4104" max="4104" width="18.140625" style="116" bestFit="1" customWidth="1"/>
    <col min="4105" max="4105" width="26.42578125" style="116" customWidth="1"/>
    <col min="4106" max="4350" width="9.140625" style="116"/>
    <col min="4351" max="4351" width="8.7109375" style="116" bestFit="1" customWidth="1"/>
    <col min="4352" max="4352" width="13.28515625" style="116" customWidth="1"/>
    <col min="4353" max="4353" width="16.140625" style="116" bestFit="1" customWidth="1"/>
    <col min="4354" max="4354" width="23.5703125" style="116" customWidth="1"/>
    <col min="4355" max="4355" width="17.28515625" style="116" customWidth="1"/>
    <col min="4356" max="4356" width="20.5703125" style="116" bestFit="1" customWidth="1"/>
    <col min="4357" max="4357" width="17.140625" style="116" customWidth="1"/>
    <col min="4358" max="4358" width="21.85546875" style="116" bestFit="1" customWidth="1"/>
    <col min="4359" max="4359" width="17.140625" style="116" bestFit="1" customWidth="1"/>
    <col min="4360" max="4360" width="18.140625" style="116" bestFit="1" customWidth="1"/>
    <col min="4361" max="4361" width="26.42578125" style="116" customWidth="1"/>
    <col min="4362" max="4606" width="9.140625" style="116"/>
    <col min="4607" max="4607" width="8.7109375" style="116" bestFit="1" customWidth="1"/>
    <col min="4608" max="4608" width="13.28515625" style="116" customWidth="1"/>
    <col min="4609" max="4609" width="16.140625" style="116" bestFit="1" customWidth="1"/>
    <col min="4610" max="4610" width="23.5703125" style="116" customWidth="1"/>
    <col min="4611" max="4611" width="17.28515625" style="116" customWidth="1"/>
    <col min="4612" max="4612" width="20.5703125" style="116" bestFit="1" customWidth="1"/>
    <col min="4613" max="4613" width="17.140625" style="116" customWidth="1"/>
    <col min="4614" max="4614" width="21.85546875" style="116" bestFit="1" customWidth="1"/>
    <col min="4615" max="4615" width="17.140625" style="116" bestFit="1" customWidth="1"/>
    <col min="4616" max="4616" width="18.140625" style="116" bestFit="1" customWidth="1"/>
    <col min="4617" max="4617" width="26.42578125" style="116" customWidth="1"/>
    <col min="4618" max="4862" width="9.140625" style="116"/>
    <col min="4863" max="4863" width="8.7109375" style="116" bestFit="1" customWidth="1"/>
    <col min="4864" max="4864" width="13.28515625" style="116" customWidth="1"/>
    <col min="4865" max="4865" width="16.140625" style="116" bestFit="1" customWidth="1"/>
    <col min="4866" max="4866" width="23.5703125" style="116" customWidth="1"/>
    <col min="4867" max="4867" width="17.28515625" style="116" customWidth="1"/>
    <col min="4868" max="4868" width="20.5703125" style="116" bestFit="1" customWidth="1"/>
    <col min="4869" max="4869" width="17.140625" style="116" customWidth="1"/>
    <col min="4870" max="4870" width="21.85546875" style="116" bestFit="1" customWidth="1"/>
    <col min="4871" max="4871" width="17.140625" style="116" bestFit="1" customWidth="1"/>
    <col min="4872" max="4872" width="18.140625" style="116" bestFit="1" customWidth="1"/>
    <col min="4873" max="4873" width="26.42578125" style="116" customWidth="1"/>
    <col min="4874" max="5118" width="9.140625" style="116"/>
    <col min="5119" max="5119" width="8.7109375" style="116" bestFit="1" customWidth="1"/>
    <col min="5120" max="5120" width="13.28515625" style="116" customWidth="1"/>
    <col min="5121" max="5121" width="16.140625" style="116" bestFit="1" customWidth="1"/>
    <col min="5122" max="5122" width="23.5703125" style="116" customWidth="1"/>
    <col min="5123" max="5123" width="17.28515625" style="116" customWidth="1"/>
    <col min="5124" max="5124" width="20.5703125" style="116" bestFit="1" customWidth="1"/>
    <col min="5125" max="5125" width="17.140625" style="116" customWidth="1"/>
    <col min="5126" max="5126" width="21.85546875" style="116" bestFit="1" customWidth="1"/>
    <col min="5127" max="5127" width="17.140625" style="116" bestFit="1" customWidth="1"/>
    <col min="5128" max="5128" width="18.140625" style="116" bestFit="1" customWidth="1"/>
    <col min="5129" max="5129" width="26.42578125" style="116" customWidth="1"/>
    <col min="5130" max="5374" width="9.140625" style="116"/>
    <col min="5375" max="5375" width="8.7109375" style="116" bestFit="1" customWidth="1"/>
    <col min="5376" max="5376" width="13.28515625" style="116" customWidth="1"/>
    <col min="5377" max="5377" width="16.140625" style="116" bestFit="1" customWidth="1"/>
    <col min="5378" max="5378" width="23.5703125" style="116" customWidth="1"/>
    <col min="5379" max="5379" width="17.28515625" style="116" customWidth="1"/>
    <col min="5380" max="5380" width="20.5703125" style="116" bestFit="1" customWidth="1"/>
    <col min="5381" max="5381" width="17.140625" style="116" customWidth="1"/>
    <col min="5382" max="5382" width="21.85546875" style="116" bestFit="1" customWidth="1"/>
    <col min="5383" max="5383" width="17.140625" style="116" bestFit="1" customWidth="1"/>
    <col min="5384" max="5384" width="18.140625" style="116" bestFit="1" customWidth="1"/>
    <col min="5385" max="5385" width="26.42578125" style="116" customWidth="1"/>
    <col min="5386" max="5630" width="9.140625" style="116"/>
    <col min="5631" max="5631" width="8.7109375" style="116" bestFit="1" customWidth="1"/>
    <col min="5632" max="5632" width="13.28515625" style="116" customWidth="1"/>
    <col min="5633" max="5633" width="16.140625" style="116" bestFit="1" customWidth="1"/>
    <col min="5634" max="5634" width="23.5703125" style="116" customWidth="1"/>
    <col min="5635" max="5635" width="17.28515625" style="116" customWidth="1"/>
    <col min="5636" max="5636" width="20.5703125" style="116" bestFit="1" customWidth="1"/>
    <col min="5637" max="5637" width="17.140625" style="116" customWidth="1"/>
    <col min="5638" max="5638" width="21.85546875" style="116" bestFit="1" customWidth="1"/>
    <col min="5639" max="5639" width="17.140625" style="116" bestFit="1" customWidth="1"/>
    <col min="5640" max="5640" width="18.140625" style="116" bestFit="1" customWidth="1"/>
    <col min="5641" max="5641" width="26.42578125" style="116" customWidth="1"/>
    <col min="5642" max="5886" width="9.140625" style="116"/>
    <col min="5887" max="5887" width="8.7109375" style="116" bestFit="1" customWidth="1"/>
    <col min="5888" max="5888" width="13.28515625" style="116" customWidth="1"/>
    <col min="5889" max="5889" width="16.140625" style="116" bestFit="1" customWidth="1"/>
    <col min="5890" max="5890" width="23.5703125" style="116" customWidth="1"/>
    <col min="5891" max="5891" width="17.28515625" style="116" customWidth="1"/>
    <col min="5892" max="5892" width="20.5703125" style="116" bestFit="1" customWidth="1"/>
    <col min="5893" max="5893" width="17.140625" style="116" customWidth="1"/>
    <col min="5894" max="5894" width="21.85546875" style="116" bestFit="1" customWidth="1"/>
    <col min="5895" max="5895" width="17.140625" style="116" bestFit="1" customWidth="1"/>
    <col min="5896" max="5896" width="18.140625" style="116" bestFit="1" customWidth="1"/>
    <col min="5897" max="5897" width="26.42578125" style="116" customWidth="1"/>
    <col min="5898" max="6142" width="9.140625" style="116"/>
    <col min="6143" max="6143" width="8.7109375" style="116" bestFit="1" customWidth="1"/>
    <col min="6144" max="6144" width="13.28515625" style="116" customWidth="1"/>
    <col min="6145" max="6145" width="16.140625" style="116" bestFit="1" customWidth="1"/>
    <col min="6146" max="6146" width="23.5703125" style="116" customWidth="1"/>
    <col min="6147" max="6147" width="17.28515625" style="116" customWidth="1"/>
    <col min="6148" max="6148" width="20.5703125" style="116" bestFit="1" customWidth="1"/>
    <col min="6149" max="6149" width="17.140625" style="116" customWidth="1"/>
    <col min="6150" max="6150" width="21.85546875" style="116" bestFit="1" customWidth="1"/>
    <col min="6151" max="6151" width="17.140625" style="116" bestFit="1" customWidth="1"/>
    <col min="6152" max="6152" width="18.140625" style="116" bestFit="1" customWidth="1"/>
    <col min="6153" max="6153" width="26.42578125" style="116" customWidth="1"/>
    <col min="6154" max="6398" width="9.140625" style="116"/>
    <col min="6399" max="6399" width="8.7109375" style="116" bestFit="1" customWidth="1"/>
    <col min="6400" max="6400" width="13.28515625" style="116" customWidth="1"/>
    <col min="6401" max="6401" width="16.140625" style="116" bestFit="1" customWidth="1"/>
    <col min="6402" max="6402" width="23.5703125" style="116" customWidth="1"/>
    <col min="6403" max="6403" width="17.28515625" style="116" customWidth="1"/>
    <col min="6404" max="6404" width="20.5703125" style="116" bestFit="1" customWidth="1"/>
    <col min="6405" max="6405" width="17.140625" style="116" customWidth="1"/>
    <col min="6406" max="6406" width="21.85546875" style="116" bestFit="1" customWidth="1"/>
    <col min="6407" max="6407" width="17.140625" style="116" bestFit="1" customWidth="1"/>
    <col min="6408" max="6408" width="18.140625" style="116" bestFit="1" customWidth="1"/>
    <col min="6409" max="6409" width="26.42578125" style="116" customWidth="1"/>
    <col min="6410" max="6654" width="9.140625" style="116"/>
    <col min="6655" max="6655" width="8.7109375" style="116" bestFit="1" customWidth="1"/>
    <col min="6656" max="6656" width="13.28515625" style="116" customWidth="1"/>
    <col min="6657" max="6657" width="16.140625" style="116" bestFit="1" customWidth="1"/>
    <col min="6658" max="6658" width="23.5703125" style="116" customWidth="1"/>
    <col min="6659" max="6659" width="17.28515625" style="116" customWidth="1"/>
    <col min="6660" max="6660" width="20.5703125" style="116" bestFit="1" customWidth="1"/>
    <col min="6661" max="6661" width="17.140625" style="116" customWidth="1"/>
    <col min="6662" max="6662" width="21.85546875" style="116" bestFit="1" customWidth="1"/>
    <col min="6663" max="6663" width="17.140625" style="116" bestFit="1" customWidth="1"/>
    <col min="6664" max="6664" width="18.140625" style="116" bestFit="1" customWidth="1"/>
    <col min="6665" max="6665" width="26.42578125" style="116" customWidth="1"/>
    <col min="6666" max="6910" width="9.140625" style="116"/>
    <col min="6911" max="6911" width="8.7109375" style="116" bestFit="1" customWidth="1"/>
    <col min="6912" max="6912" width="13.28515625" style="116" customWidth="1"/>
    <col min="6913" max="6913" width="16.140625" style="116" bestFit="1" customWidth="1"/>
    <col min="6914" max="6914" width="23.5703125" style="116" customWidth="1"/>
    <col min="6915" max="6915" width="17.28515625" style="116" customWidth="1"/>
    <col min="6916" max="6916" width="20.5703125" style="116" bestFit="1" customWidth="1"/>
    <col min="6917" max="6917" width="17.140625" style="116" customWidth="1"/>
    <col min="6918" max="6918" width="21.85546875" style="116" bestFit="1" customWidth="1"/>
    <col min="6919" max="6919" width="17.140625" style="116" bestFit="1" customWidth="1"/>
    <col min="6920" max="6920" width="18.140625" style="116" bestFit="1" customWidth="1"/>
    <col min="6921" max="6921" width="26.42578125" style="116" customWidth="1"/>
    <col min="6922" max="7166" width="9.140625" style="116"/>
    <col min="7167" max="7167" width="8.7109375" style="116" bestFit="1" customWidth="1"/>
    <col min="7168" max="7168" width="13.28515625" style="116" customWidth="1"/>
    <col min="7169" max="7169" width="16.140625" style="116" bestFit="1" customWidth="1"/>
    <col min="7170" max="7170" width="23.5703125" style="116" customWidth="1"/>
    <col min="7171" max="7171" width="17.28515625" style="116" customWidth="1"/>
    <col min="7172" max="7172" width="20.5703125" style="116" bestFit="1" customWidth="1"/>
    <col min="7173" max="7173" width="17.140625" style="116" customWidth="1"/>
    <col min="7174" max="7174" width="21.85546875" style="116" bestFit="1" customWidth="1"/>
    <col min="7175" max="7175" width="17.140625" style="116" bestFit="1" customWidth="1"/>
    <col min="7176" max="7176" width="18.140625" style="116" bestFit="1" customWidth="1"/>
    <col min="7177" max="7177" width="26.42578125" style="116" customWidth="1"/>
    <col min="7178" max="7422" width="9.140625" style="116"/>
    <col min="7423" max="7423" width="8.7109375" style="116" bestFit="1" customWidth="1"/>
    <col min="7424" max="7424" width="13.28515625" style="116" customWidth="1"/>
    <col min="7425" max="7425" width="16.140625" style="116" bestFit="1" customWidth="1"/>
    <col min="7426" max="7426" width="23.5703125" style="116" customWidth="1"/>
    <col min="7427" max="7427" width="17.28515625" style="116" customWidth="1"/>
    <col min="7428" max="7428" width="20.5703125" style="116" bestFit="1" customWidth="1"/>
    <col min="7429" max="7429" width="17.140625" style="116" customWidth="1"/>
    <col min="7430" max="7430" width="21.85546875" style="116" bestFit="1" customWidth="1"/>
    <col min="7431" max="7431" width="17.140625" style="116" bestFit="1" customWidth="1"/>
    <col min="7432" max="7432" width="18.140625" style="116" bestFit="1" customWidth="1"/>
    <col min="7433" max="7433" width="26.42578125" style="116" customWidth="1"/>
    <col min="7434" max="7678" width="9.140625" style="116"/>
    <col min="7679" max="7679" width="8.7109375" style="116" bestFit="1" customWidth="1"/>
    <col min="7680" max="7680" width="13.28515625" style="116" customWidth="1"/>
    <col min="7681" max="7681" width="16.140625" style="116" bestFit="1" customWidth="1"/>
    <col min="7682" max="7682" width="23.5703125" style="116" customWidth="1"/>
    <col min="7683" max="7683" width="17.28515625" style="116" customWidth="1"/>
    <col min="7684" max="7684" width="20.5703125" style="116" bestFit="1" customWidth="1"/>
    <col min="7685" max="7685" width="17.140625" style="116" customWidth="1"/>
    <col min="7686" max="7686" width="21.85546875" style="116" bestFit="1" customWidth="1"/>
    <col min="7687" max="7687" width="17.140625" style="116" bestFit="1" customWidth="1"/>
    <col min="7688" max="7688" width="18.140625" style="116" bestFit="1" customWidth="1"/>
    <col min="7689" max="7689" width="26.42578125" style="116" customWidth="1"/>
    <col min="7690" max="7934" width="9.140625" style="116"/>
    <col min="7935" max="7935" width="8.7109375" style="116" bestFit="1" customWidth="1"/>
    <col min="7936" max="7936" width="13.28515625" style="116" customWidth="1"/>
    <col min="7937" max="7937" width="16.140625" style="116" bestFit="1" customWidth="1"/>
    <col min="7938" max="7938" width="23.5703125" style="116" customWidth="1"/>
    <col min="7939" max="7939" width="17.28515625" style="116" customWidth="1"/>
    <col min="7940" max="7940" width="20.5703125" style="116" bestFit="1" customWidth="1"/>
    <col min="7941" max="7941" width="17.140625" style="116" customWidth="1"/>
    <col min="7942" max="7942" width="21.85546875" style="116" bestFit="1" customWidth="1"/>
    <col min="7943" max="7943" width="17.140625" style="116" bestFit="1" customWidth="1"/>
    <col min="7944" max="7944" width="18.140625" style="116" bestFit="1" customWidth="1"/>
    <col min="7945" max="7945" width="26.42578125" style="116" customWidth="1"/>
    <col min="7946" max="8190" width="9.140625" style="116"/>
    <col min="8191" max="8191" width="8.7109375" style="116" bestFit="1" customWidth="1"/>
    <col min="8192" max="8192" width="13.28515625" style="116" customWidth="1"/>
    <col min="8193" max="8193" width="16.140625" style="116" bestFit="1" customWidth="1"/>
    <col min="8194" max="8194" width="23.5703125" style="116" customWidth="1"/>
    <col min="8195" max="8195" width="17.28515625" style="116" customWidth="1"/>
    <col min="8196" max="8196" width="20.5703125" style="116" bestFit="1" customWidth="1"/>
    <col min="8197" max="8197" width="17.140625" style="116" customWidth="1"/>
    <col min="8198" max="8198" width="21.85546875" style="116" bestFit="1" customWidth="1"/>
    <col min="8199" max="8199" width="17.140625" style="116" bestFit="1" customWidth="1"/>
    <col min="8200" max="8200" width="18.140625" style="116" bestFit="1" customWidth="1"/>
    <col min="8201" max="8201" width="26.42578125" style="116" customWidth="1"/>
    <col min="8202" max="8446" width="9.140625" style="116"/>
    <col min="8447" max="8447" width="8.7109375" style="116" bestFit="1" customWidth="1"/>
    <col min="8448" max="8448" width="13.28515625" style="116" customWidth="1"/>
    <col min="8449" max="8449" width="16.140625" style="116" bestFit="1" customWidth="1"/>
    <col min="8450" max="8450" width="23.5703125" style="116" customWidth="1"/>
    <col min="8451" max="8451" width="17.28515625" style="116" customWidth="1"/>
    <col min="8452" max="8452" width="20.5703125" style="116" bestFit="1" customWidth="1"/>
    <col min="8453" max="8453" width="17.140625" style="116" customWidth="1"/>
    <col min="8454" max="8454" width="21.85546875" style="116" bestFit="1" customWidth="1"/>
    <col min="8455" max="8455" width="17.140625" style="116" bestFit="1" customWidth="1"/>
    <col min="8456" max="8456" width="18.140625" style="116" bestFit="1" customWidth="1"/>
    <col min="8457" max="8457" width="26.42578125" style="116" customWidth="1"/>
    <col min="8458" max="8702" width="9.140625" style="116"/>
    <col min="8703" max="8703" width="8.7109375" style="116" bestFit="1" customWidth="1"/>
    <col min="8704" max="8704" width="13.28515625" style="116" customWidth="1"/>
    <col min="8705" max="8705" width="16.140625" style="116" bestFit="1" customWidth="1"/>
    <col min="8706" max="8706" width="23.5703125" style="116" customWidth="1"/>
    <col min="8707" max="8707" width="17.28515625" style="116" customWidth="1"/>
    <col min="8708" max="8708" width="20.5703125" style="116" bestFit="1" customWidth="1"/>
    <col min="8709" max="8709" width="17.140625" style="116" customWidth="1"/>
    <col min="8710" max="8710" width="21.85546875" style="116" bestFit="1" customWidth="1"/>
    <col min="8711" max="8711" width="17.140625" style="116" bestFit="1" customWidth="1"/>
    <col min="8712" max="8712" width="18.140625" style="116" bestFit="1" customWidth="1"/>
    <col min="8713" max="8713" width="26.42578125" style="116" customWidth="1"/>
    <col min="8714" max="8958" width="9.140625" style="116"/>
    <col min="8959" max="8959" width="8.7109375" style="116" bestFit="1" customWidth="1"/>
    <col min="8960" max="8960" width="13.28515625" style="116" customWidth="1"/>
    <col min="8961" max="8961" width="16.140625" style="116" bestFit="1" customWidth="1"/>
    <col min="8962" max="8962" width="23.5703125" style="116" customWidth="1"/>
    <col min="8963" max="8963" width="17.28515625" style="116" customWidth="1"/>
    <col min="8964" max="8964" width="20.5703125" style="116" bestFit="1" customWidth="1"/>
    <col min="8965" max="8965" width="17.140625" style="116" customWidth="1"/>
    <col min="8966" max="8966" width="21.85546875" style="116" bestFit="1" customWidth="1"/>
    <col min="8967" max="8967" width="17.140625" style="116" bestFit="1" customWidth="1"/>
    <col min="8968" max="8968" width="18.140625" style="116" bestFit="1" customWidth="1"/>
    <col min="8969" max="8969" width="26.42578125" style="116" customWidth="1"/>
    <col min="8970" max="9214" width="9.140625" style="116"/>
    <col min="9215" max="9215" width="8.7109375" style="116" bestFit="1" customWidth="1"/>
    <col min="9216" max="9216" width="13.28515625" style="116" customWidth="1"/>
    <col min="9217" max="9217" width="16.140625" style="116" bestFit="1" customWidth="1"/>
    <col min="9218" max="9218" width="23.5703125" style="116" customWidth="1"/>
    <col min="9219" max="9219" width="17.28515625" style="116" customWidth="1"/>
    <col min="9220" max="9220" width="20.5703125" style="116" bestFit="1" customWidth="1"/>
    <col min="9221" max="9221" width="17.140625" style="116" customWidth="1"/>
    <col min="9222" max="9222" width="21.85546875" style="116" bestFit="1" customWidth="1"/>
    <col min="9223" max="9223" width="17.140625" style="116" bestFit="1" customWidth="1"/>
    <col min="9224" max="9224" width="18.140625" style="116" bestFit="1" customWidth="1"/>
    <col min="9225" max="9225" width="26.42578125" style="116" customWidth="1"/>
    <col min="9226" max="9470" width="9.140625" style="116"/>
    <col min="9471" max="9471" width="8.7109375" style="116" bestFit="1" customWidth="1"/>
    <col min="9472" max="9472" width="13.28515625" style="116" customWidth="1"/>
    <col min="9473" max="9473" width="16.140625" style="116" bestFit="1" customWidth="1"/>
    <col min="9474" max="9474" width="23.5703125" style="116" customWidth="1"/>
    <col min="9475" max="9475" width="17.28515625" style="116" customWidth="1"/>
    <col min="9476" max="9476" width="20.5703125" style="116" bestFit="1" customWidth="1"/>
    <col min="9477" max="9477" width="17.140625" style="116" customWidth="1"/>
    <col min="9478" max="9478" width="21.85546875" style="116" bestFit="1" customWidth="1"/>
    <col min="9479" max="9479" width="17.140625" style="116" bestFit="1" customWidth="1"/>
    <col min="9480" max="9480" width="18.140625" style="116" bestFit="1" customWidth="1"/>
    <col min="9481" max="9481" width="26.42578125" style="116" customWidth="1"/>
    <col min="9482" max="9726" width="9.140625" style="116"/>
    <col min="9727" max="9727" width="8.7109375" style="116" bestFit="1" customWidth="1"/>
    <col min="9728" max="9728" width="13.28515625" style="116" customWidth="1"/>
    <col min="9729" max="9729" width="16.140625" style="116" bestFit="1" customWidth="1"/>
    <col min="9730" max="9730" width="23.5703125" style="116" customWidth="1"/>
    <col min="9731" max="9731" width="17.28515625" style="116" customWidth="1"/>
    <col min="9732" max="9732" width="20.5703125" style="116" bestFit="1" customWidth="1"/>
    <col min="9733" max="9733" width="17.140625" style="116" customWidth="1"/>
    <col min="9734" max="9734" width="21.85546875" style="116" bestFit="1" customWidth="1"/>
    <col min="9735" max="9735" width="17.140625" style="116" bestFit="1" customWidth="1"/>
    <col min="9736" max="9736" width="18.140625" style="116" bestFit="1" customWidth="1"/>
    <col min="9737" max="9737" width="26.42578125" style="116" customWidth="1"/>
    <col min="9738" max="9982" width="9.140625" style="116"/>
    <col min="9983" max="9983" width="8.7109375" style="116" bestFit="1" customWidth="1"/>
    <col min="9984" max="9984" width="13.28515625" style="116" customWidth="1"/>
    <col min="9985" max="9985" width="16.140625" style="116" bestFit="1" customWidth="1"/>
    <col min="9986" max="9986" width="23.5703125" style="116" customWidth="1"/>
    <col min="9987" max="9987" width="17.28515625" style="116" customWidth="1"/>
    <col min="9988" max="9988" width="20.5703125" style="116" bestFit="1" customWidth="1"/>
    <col min="9989" max="9989" width="17.140625" style="116" customWidth="1"/>
    <col min="9990" max="9990" width="21.85546875" style="116" bestFit="1" customWidth="1"/>
    <col min="9991" max="9991" width="17.140625" style="116" bestFit="1" customWidth="1"/>
    <col min="9992" max="9992" width="18.140625" style="116" bestFit="1" customWidth="1"/>
    <col min="9993" max="9993" width="26.42578125" style="116" customWidth="1"/>
    <col min="9994" max="10238" width="9.140625" style="116"/>
    <col min="10239" max="10239" width="8.7109375" style="116" bestFit="1" customWidth="1"/>
    <col min="10240" max="10240" width="13.28515625" style="116" customWidth="1"/>
    <col min="10241" max="10241" width="16.140625" style="116" bestFit="1" customWidth="1"/>
    <col min="10242" max="10242" width="23.5703125" style="116" customWidth="1"/>
    <col min="10243" max="10243" width="17.28515625" style="116" customWidth="1"/>
    <col min="10244" max="10244" width="20.5703125" style="116" bestFit="1" customWidth="1"/>
    <col min="10245" max="10245" width="17.140625" style="116" customWidth="1"/>
    <col min="10246" max="10246" width="21.85546875" style="116" bestFit="1" customWidth="1"/>
    <col min="10247" max="10247" width="17.140625" style="116" bestFit="1" customWidth="1"/>
    <col min="10248" max="10248" width="18.140625" style="116" bestFit="1" customWidth="1"/>
    <col min="10249" max="10249" width="26.42578125" style="116" customWidth="1"/>
    <col min="10250" max="10494" width="9.140625" style="116"/>
    <col min="10495" max="10495" width="8.7109375" style="116" bestFit="1" customWidth="1"/>
    <col min="10496" max="10496" width="13.28515625" style="116" customWidth="1"/>
    <col min="10497" max="10497" width="16.140625" style="116" bestFit="1" customWidth="1"/>
    <col min="10498" max="10498" width="23.5703125" style="116" customWidth="1"/>
    <col min="10499" max="10499" width="17.28515625" style="116" customWidth="1"/>
    <col min="10500" max="10500" width="20.5703125" style="116" bestFit="1" customWidth="1"/>
    <col min="10501" max="10501" width="17.140625" style="116" customWidth="1"/>
    <col min="10502" max="10502" width="21.85546875" style="116" bestFit="1" customWidth="1"/>
    <col min="10503" max="10503" width="17.140625" style="116" bestFit="1" customWidth="1"/>
    <col min="10504" max="10504" width="18.140625" style="116" bestFit="1" customWidth="1"/>
    <col min="10505" max="10505" width="26.42578125" style="116" customWidth="1"/>
    <col min="10506" max="10750" width="9.140625" style="116"/>
    <col min="10751" max="10751" width="8.7109375" style="116" bestFit="1" customWidth="1"/>
    <col min="10752" max="10752" width="13.28515625" style="116" customWidth="1"/>
    <col min="10753" max="10753" width="16.140625" style="116" bestFit="1" customWidth="1"/>
    <col min="10754" max="10754" width="23.5703125" style="116" customWidth="1"/>
    <col min="10755" max="10755" width="17.28515625" style="116" customWidth="1"/>
    <col min="10756" max="10756" width="20.5703125" style="116" bestFit="1" customWidth="1"/>
    <col min="10757" max="10757" width="17.140625" style="116" customWidth="1"/>
    <col min="10758" max="10758" width="21.85546875" style="116" bestFit="1" customWidth="1"/>
    <col min="10759" max="10759" width="17.140625" style="116" bestFit="1" customWidth="1"/>
    <col min="10760" max="10760" width="18.140625" style="116" bestFit="1" customWidth="1"/>
    <col min="10761" max="10761" width="26.42578125" style="116" customWidth="1"/>
    <col min="10762" max="11006" width="9.140625" style="116"/>
    <col min="11007" max="11007" width="8.7109375" style="116" bestFit="1" customWidth="1"/>
    <col min="11008" max="11008" width="13.28515625" style="116" customWidth="1"/>
    <col min="11009" max="11009" width="16.140625" style="116" bestFit="1" customWidth="1"/>
    <col min="11010" max="11010" width="23.5703125" style="116" customWidth="1"/>
    <col min="11011" max="11011" width="17.28515625" style="116" customWidth="1"/>
    <col min="11012" max="11012" width="20.5703125" style="116" bestFit="1" customWidth="1"/>
    <col min="11013" max="11013" width="17.140625" style="116" customWidth="1"/>
    <col min="11014" max="11014" width="21.85546875" style="116" bestFit="1" customWidth="1"/>
    <col min="11015" max="11015" width="17.140625" style="116" bestFit="1" customWidth="1"/>
    <col min="11016" max="11016" width="18.140625" style="116" bestFit="1" customWidth="1"/>
    <col min="11017" max="11017" width="26.42578125" style="116" customWidth="1"/>
    <col min="11018" max="11262" width="9.140625" style="116"/>
    <col min="11263" max="11263" width="8.7109375" style="116" bestFit="1" customWidth="1"/>
    <col min="11264" max="11264" width="13.28515625" style="116" customWidth="1"/>
    <col min="11265" max="11265" width="16.140625" style="116" bestFit="1" customWidth="1"/>
    <col min="11266" max="11266" width="23.5703125" style="116" customWidth="1"/>
    <col min="11267" max="11267" width="17.28515625" style="116" customWidth="1"/>
    <col min="11268" max="11268" width="20.5703125" style="116" bestFit="1" customWidth="1"/>
    <col min="11269" max="11269" width="17.140625" style="116" customWidth="1"/>
    <col min="11270" max="11270" width="21.85546875" style="116" bestFit="1" customWidth="1"/>
    <col min="11271" max="11271" width="17.140625" style="116" bestFit="1" customWidth="1"/>
    <col min="11272" max="11272" width="18.140625" style="116" bestFit="1" customWidth="1"/>
    <col min="11273" max="11273" width="26.42578125" style="116" customWidth="1"/>
    <col min="11274" max="11518" width="9.140625" style="116"/>
    <col min="11519" max="11519" width="8.7109375" style="116" bestFit="1" customWidth="1"/>
    <col min="11520" max="11520" width="13.28515625" style="116" customWidth="1"/>
    <col min="11521" max="11521" width="16.140625" style="116" bestFit="1" customWidth="1"/>
    <col min="11522" max="11522" width="23.5703125" style="116" customWidth="1"/>
    <col min="11523" max="11523" width="17.28515625" style="116" customWidth="1"/>
    <col min="11524" max="11524" width="20.5703125" style="116" bestFit="1" customWidth="1"/>
    <col min="11525" max="11525" width="17.140625" style="116" customWidth="1"/>
    <col min="11526" max="11526" width="21.85546875" style="116" bestFit="1" customWidth="1"/>
    <col min="11527" max="11527" width="17.140625" style="116" bestFit="1" customWidth="1"/>
    <col min="11528" max="11528" width="18.140625" style="116" bestFit="1" customWidth="1"/>
    <col min="11529" max="11529" width="26.42578125" style="116" customWidth="1"/>
    <col min="11530" max="11774" width="9.140625" style="116"/>
    <col min="11775" max="11775" width="8.7109375" style="116" bestFit="1" customWidth="1"/>
    <col min="11776" max="11776" width="13.28515625" style="116" customWidth="1"/>
    <col min="11777" max="11777" width="16.140625" style="116" bestFit="1" customWidth="1"/>
    <col min="11778" max="11778" width="23.5703125" style="116" customWidth="1"/>
    <col min="11779" max="11779" width="17.28515625" style="116" customWidth="1"/>
    <col min="11780" max="11780" width="20.5703125" style="116" bestFit="1" customWidth="1"/>
    <col min="11781" max="11781" width="17.140625" style="116" customWidth="1"/>
    <col min="11782" max="11782" width="21.85546875" style="116" bestFit="1" customWidth="1"/>
    <col min="11783" max="11783" width="17.140625" style="116" bestFit="1" customWidth="1"/>
    <col min="11784" max="11784" width="18.140625" style="116" bestFit="1" customWidth="1"/>
    <col min="11785" max="11785" width="26.42578125" style="116" customWidth="1"/>
    <col min="11786" max="12030" width="9.140625" style="116"/>
    <col min="12031" max="12031" width="8.7109375" style="116" bestFit="1" customWidth="1"/>
    <col min="12032" max="12032" width="13.28515625" style="116" customWidth="1"/>
    <col min="12033" max="12033" width="16.140625" style="116" bestFit="1" customWidth="1"/>
    <col min="12034" max="12034" width="23.5703125" style="116" customWidth="1"/>
    <col min="12035" max="12035" width="17.28515625" style="116" customWidth="1"/>
    <col min="12036" max="12036" width="20.5703125" style="116" bestFit="1" customWidth="1"/>
    <col min="12037" max="12037" width="17.140625" style="116" customWidth="1"/>
    <col min="12038" max="12038" width="21.85546875" style="116" bestFit="1" customWidth="1"/>
    <col min="12039" max="12039" width="17.140625" style="116" bestFit="1" customWidth="1"/>
    <col min="12040" max="12040" width="18.140625" style="116" bestFit="1" customWidth="1"/>
    <col min="12041" max="12041" width="26.42578125" style="116" customWidth="1"/>
    <col min="12042" max="12286" width="9.140625" style="116"/>
    <col min="12287" max="12287" width="8.7109375" style="116" bestFit="1" customWidth="1"/>
    <col min="12288" max="12288" width="13.28515625" style="116" customWidth="1"/>
    <col min="12289" max="12289" width="16.140625" style="116" bestFit="1" customWidth="1"/>
    <col min="12290" max="12290" width="23.5703125" style="116" customWidth="1"/>
    <col min="12291" max="12291" width="17.28515625" style="116" customWidth="1"/>
    <col min="12292" max="12292" width="20.5703125" style="116" bestFit="1" customWidth="1"/>
    <col min="12293" max="12293" width="17.140625" style="116" customWidth="1"/>
    <col min="12294" max="12294" width="21.85546875" style="116" bestFit="1" customWidth="1"/>
    <col min="12295" max="12295" width="17.140625" style="116" bestFit="1" customWidth="1"/>
    <col min="12296" max="12296" width="18.140625" style="116" bestFit="1" customWidth="1"/>
    <col min="12297" max="12297" width="26.42578125" style="116" customWidth="1"/>
    <col min="12298" max="12542" width="9.140625" style="116"/>
    <col min="12543" max="12543" width="8.7109375" style="116" bestFit="1" customWidth="1"/>
    <col min="12544" max="12544" width="13.28515625" style="116" customWidth="1"/>
    <col min="12545" max="12545" width="16.140625" style="116" bestFit="1" customWidth="1"/>
    <col min="12546" max="12546" width="23.5703125" style="116" customWidth="1"/>
    <col min="12547" max="12547" width="17.28515625" style="116" customWidth="1"/>
    <col min="12548" max="12548" width="20.5703125" style="116" bestFit="1" customWidth="1"/>
    <col min="12549" max="12549" width="17.140625" style="116" customWidth="1"/>
    <col min="12550" max="12550" width="21.85546875" style="116" bestFit="1" customWidth="1"/>
    <col min="12551" max="12551" width="17.140625" style="116" bestFit="1" customWidth="1"/>
    <col min="12552" max="12552" width="18.140625" style="116" bestFit="1" customWidth="1"/>
    <col min="12553" max="12553" width="26.42578125" style="116" customWidth="1"/>
    <col min="12554" max="12798" width="9.140625" style="116"/>
    <col min="12799" max="12799" width="8.7109375" style="116" bestFit="1" customWidth="1"/>
    <col min="12800" max="12800" width="13.28515625" style="116" customWidth="1"/>
    <col min="12801" max="12801" width="16.140625" style="116" bestFit="1" customWidth="1"/>
    <col min="12802" max="12802" width="23.5703125" style="116" customWidth="1"/>
    <col min="12803" max="12803" width="17.28515625" style="116" customWidth="1"/>
    <col min="12804" max="12804" width="20.5703125" style="116" bestFit="1" customWidth="1"/>
    <col min="12805" max="12805" width="17.140625" style="116" customWidth="1"/>
    <col min="12806" max="12806" width="21.85546875" style="116" bestFit="1" customWidth="1"/>
    <col min="12807" max="12807" width="17.140625" style="116" bestFit="1" customWidth="1"/>
    <col min="12808" max="12808" width="18.140625" style="116" bestFit="1" customWidth="1"/>
    <col min="12809" max="12809" width="26.42578125" style="116" customWidth="1"/>
    <col min="12810" max="13054" width="9.140625" style="116"/>
    <col min="13055" max="13055" width="8.7109375" style="116" bestFit="1" customWidth="1"/>
    <col min="13056" max="13056" width="13.28515625" style="116" customWidth="1"/>
    <col min="13057" max="13057" width="16.140625" style="116" bestFit="1" customWidth="1"/>
    <col min="13058" max="13058" width="23.5703125" style="116" customWidth="1"/>
    <col min="13059" max="13059" width="17.28515625" style="116" customWidth="1"/>
    <col min="13060" max="13060" width="20.5703125" style="116" bestFit="1" customWidth="1"/>
    <col min="13061" max="13061" width="17.140625" style="116" customWidth="1"/>
    <col min="13062" max="13062" width="21.85546875" style="116" bestFit="1" customWidth="1"/>
    <col min="13063" max="13063" width="17.140625" style="116" bestFit="1" customWidth="1"/>
    <col min="13064" max="13064" width="18.140625" style="116" bestFit="1" customWidth="1"/>
    <col min="13065" max="13065" width="26.42578125" style="116" customWidth="1"/>
    <col min="13066" max="13310" width="9.140625" style="116"/>
    <col min="13311" max="13311" width="8.7109375" style="116" bestFit="1" customWidth="1"/>
    <col min="13312" max="13312" width="13.28515625" style="116" customWidth="1"/>
    <col min="13313" max="13313" width="16.140625" style="116" bestFit="1" customWidth="1"/>
    <col min="13314" max="13314" width="23.5703125" style="116" customWidth="1"/>
    <col min="13315" max="13315" width="17.28515625" style="116" customWidth="1"/>
    <col min="13316" max="13316" width="20.5703125" style="116" bestFit="1" customWidth="1"/>
    <col min="13317" max="13317" width="17.140625" style="116" customWidth="1"/>
    <col min="13318" max="13318" width="21.85546875" style="116" bestFit="1" customWidth="1"/>
    <col min="13319" max="13319" width="17.140625" style="116" bestFit="1" customWidth="1"/>
    <col min="13320" max="13320" width="18.140625" style="116" bestFit="1" customWidth="1"/>
    <col min="13321" max="13321" width="26.42578125" style="116" customWidth="1"/>
    <col min="13322" max="13566" width="9.140625" style="116"/>
    <col min="13567" max="13567" width="8.7109375" style="116" bestFit="1" customWidth="1"/>
    <col min="13568" max="13568" width="13.28515625" style="116" customWidth="1"/>
    <col min="13569" max="13569" width="16.140625" style="116" bestFit="1" customWidth="1"/>
    <col min="13570" max="13570" width="23.5703125" style="116" customWidth="1"/>
    <col min="13571" max="13571" width="17.28515625" style="116" customWidth="1"/>
    <col min="13572" max="13572" width="20.5703125" style="116" bestFit="1" customWidth="1"/>
    <col min="13573" max="13573" width="17.140625" style="116" customWidth="1"/>
    <col min="13574" max="13574" width="21.85546875" style="116" bestFit="1" customWidth="1"/>
    <col min="13575" max="13575" width="17.140625" style="116" bestFit="1" customWidth="1"/>
    <col min="13576" max="13576" width="18.140625" style="116" bestFit="1" customWidth="1"/>
    <col min="13577" max="13577" width="26.42578125" style="116" customWidth="1"/>
    <col min="13578" max="13822" width="9.140625" style="116"/>
    <col min="13823" max="13823" width="8.7109375" style="116" bestFit="1" customWidth="1"/>
    <col min="13824" max="13824" width="13.28515625" style="116" customWidth="1"/>
    <col min="13825" max="13825" width="16.140625" style="116" bestFit="1" customWidth="1"/>
    <col min="13826" max="13826" width="23.5703125" style="116" customWidth="1"/>
    <col min="13827" max="13827" width="17.28515625" style="116" customWidth="1"/>
    <col min="13828" max="13828" width="20.5703125" style="116" bestFit="1" customWidth="1"/>
    <col min="13829" max="13829" width="17.140625" style="116" customWidth="1"/>
    <col min="13830" max="13830" width="21.85546875" style="116" bestFit="1" customWidth="1"/>
    <col min="13831" max="13831" width="17.140625" style="116" bestFit="1" customWidth="1"/>
    <col min="13832" max="13832" width="18.140625" style="116" bestFit="1" customWidth="1"/>
    <col min="13833" max="13833" width="26.42578125" style="116" customWidth="1"/>
    <col min="13834" max="14078" width="9.140625" style="116"/>
    <col min="14079" max="14079" width="8.7109375" style="116" bestFit="1" customWidth="1"/>
    <col min="14080" max="14080" width="13.28515625" style="116" customWidth="1"/>
    <col min="14081" max="14081" width="16.140625" style="116" bestFit="1" customWidth="1"/>
    <col min="14082" max="14082" width="23.5703125" style="116" customWidth="1"/>
    <col min="14083" max="14083" width="17.28515625" style="116" customWidth="1"/>
    <col min="14084" max="14084" width="20.5703125" style="116" bestFit="1" customWidth="1"/>
    <col min="14085" max="14085" width="17.140625" style="116" customWidth="1"/>
    <col min="14086" max="14086" width="21.85546875" style="116" bestFit="1" customWidth="1"/>
    <col min="14087" max="14087" width="17.140625" style="116" bestFit="1" customWidth="1"/>
    <col min="14088" max="14088" width="18.140625" style="116" bestFit="1" customWidth="1"/>
    <col min="14089" max="14089" width="26.42578125" style="116" customWidth="1"/>
    <col min="14090" max="14334" width="9.140625" style="116"/>
    <col min="14335" max="14335" width="8.7109375" style="116" bestFit="1" customWidth="1"/>
    <col min="14336" max="14336" width="13.28515625" style="116" customWidth="1"/>
    <col min="14337" max="14337" width="16.140625" style="116" bestFit="1" customWidth="1"/>
    <col min="14338" max="14338" width="23.5703125" style="116" customWidth="1"/>
    <col min="14339" max="14339" width="17.28515625" style="116" customWidth="1"/>
    <col min="14340" max="14340" width="20.5703125" style="116" bestFit="1" customWidth="1"/>
    <col min="14341" max="14341" width="17.140625" style="116" customWidth="1"/>
    <col min="14342" max="14342" width="21.85546875" style="116" bestFit="1" customWidth="1"/>
    <col min="14343" max="14343" width="17.140625" style="116" bestFit="1" customWidth="1"/>
    <col min="14344" max="14344" width="18.140625" style="116" bestFit="1" customWidth="1"/>
    <col min="14345" max="14345" width="26.42578125" style="116" customWidth="1"/>
    <col min="14346" max="14590" width="9.140625" style="116"/>
    <col min="14591" max="14591" width="8.7109375" style="116" bestFit="1" customWidth="1"/>
    <col min="14592" max="14592" width="13.28515625" style="116" customWidth="1"/>
    <col min="14593" max="14593" width="16.140625" style="116" bestFit="1" customWidth="1"/>
    <col min="14594" max="14594" width="23.5703125" style="116" customWidth="1"/>
    <col min="14595" max="14595" width="17.28515625" style="116" customWidth="1"/>
    <col min="14596" max="14596" width="20.5703125" style="116" bestFit="1" customWidth="1"/>
    <col min="14597" max="14597" width="17.140625" style="116" customWidth="1"/>
    <col min="14598" max="14598" width="21.85546875" style="116" bestFit="1" customWidth="1"/>
    <col min="14599" max="14599" width="17.140625" style="116" bestFit="1" customWidth="1"/>
    <col min="14600" max="14600" width="18.140625" style="116" bestFit="1" customWidth="1"/>
    <col min="14601" max="14601" width="26.42578125" style="116" customWidth="1"/>
    <col min="14602" max="14846" width="9.140625" style="116"/>
    <col min="14847" max="14847" width="8.7109375" style="116" bestFit="1" customWidth="1"/>
    <col min="14848" max="14848" width="13.28515625" style="116" customWidth="1"/>
    <col min="14849" max="14849" width="16.140625" style="116" bestFit="1" customWidth="1"/>
    <col min="14850" max="14850" width="23.5703125" style="116" customWidth="1"/>
    <col min="14851" max="14851" width="17.28515625" style="116" customWidth="1"/>
    <col min="14852" max="14852" width="20.5703125" style="116" bestFit="1" customWidth="1"/>
    <col min="14853" max="14853" width="17.140625" style="116" customWidth="1"/>
    <col min="14854" max="14854" width="21.85546875" style="116" bestFit="1" customWidth="1"/>
    <col min="14855" max="14855" width="17.140625" style="116" bestFit="1" customWidth="1"/>
    <col min="14856" max="14856" width="18.140625" style="116" bestFit="1" customWidth="1"/>
    <col min="14857" max="14857" width="26.42578125" style="116" customWidth="1"/>
    <col min="14858" max="15102" width="9.140625" style="116"/>
    <col min="15103" max="15103" width="8.7109375" style="116" bestFit="1" customWidth="1"/>
    <col min="15104" max="15104" width="13.28515625" style="116" customWidth="1"/>
    <col min="15105" max="15105" width="16.140625" style="116" bestFit="1" customWidth="1"/>
    <col min="15106" max="15106" width="23.5703125" style="116" customWidth="1"/>
    <col min="15107" max="15107" width="17.28515625" style="116" customWidth="1"/>
    <col min="15108" max="15108" width="20.5703125" style="116" bestFit="1" customWidth="1"/>
    <col min="15109" max="15109" width="17.140625" style="116" customWidth="1"/>
    <col min="15110" max="15110" width="21.85546875" style="116" bestFit="1" customWidth="1"/>
    <col min="15111" max="15111" width="17.140625" style="116" bestFit="1" customWidth="1"/>
    <col min="15112" max="15112" width="18.140625" style="116" bestFit="1" customWidth="1"/>
    <col min="15113" max="15113" width="26.42578125" style="116" customWidth="1"/>
    <col min="15114" max="15358" width="9.140625" style="116"/>
    <col min="15359" max="15359" width="8.7109375" style="116" bestFit="1" customWidth="1"/>
    <col min="15360" max="15360" width="13.28515625" style="116" customWidth="1"/>
    <col min="15361" max="15361" width="16.140625" style="116" bestFit="1" customWidth="1"/>
    <col min="15362" max="15362" width="23.5703125" style="116" customWidth="1"/>
    <col min="15363" max="15363" width="17.28515625" style="116" customWidth="1"/>
    <col min="15364" max="15364" width="20.5703125" style="116" bestFit="1" customWidth="1"/>
    <col min="15365" max="15365" width="17.140625" style="116" customWidth="1"/>
    <col min="15366" max="15366" width="21.85546875" style="116" bestFit="1" customWidth="1"/>
    <col min="15367" max="15367" width="17.140625" style="116" bestFit="1" customWidth="1"/>
    <col min="15368" max="15368" width="18.140625" style="116" bestFit="1" customWidth="1"/>
    <col min="15369" max="15369" width="26.42578125" style="116" customWidth="1"/>
    <col min="15370" max="15614" width="9.140625" style="116"/>
    <col min="15615" max="15615" width="8.7109375" style="116" bestFit="1" customWidth="1"/>
    <col min="15616" max="15616" width="13.28515625" style="116" customWidth="1"/>
    <col min="15617" max="15617" width="16.140625" style="116" bestFit="1" customWidth="1"/>
    <col min="15618" max="15618" width="23.5703125" style="116" customWidth="1"/>
    <col min="15619" max="15619" width="17.28515625" style="116" customWidth="1"/>
    <col min="15620" max="15620" width="20.5703125" style="116" bestFit="1" customWidth="1"/>
    <col min="15621" max="15621" width="17.140625" style="116" customWidth="1"/>
    <col min="15622" max="15622" width="21.85546875" style="116" bestFit="1" customWidth="1"/>
    <col min="15623" max="15623" width="17.140625" style="116" bestFit="1" customWidth="1"/>
    <col min="15624" max="15624" width="18.140625" style="116" bestFit="1" customWidth="1"/>
    <col min="15625" max="15625" width="26.42578125" style="116" customWidth="1"/>
    <col min="15626" max="15870" width="9.140625" style="116"/>
    <col min="15871" max="15871" width="8.7109375" style="116" bestFit="1" customWidth="1"/>
    <col min="15872" max="15872" width="13.28515625" style="116" customWidth="1"/>
    <col min="15873" max="15873" width="16.140625" style="116" bestFit="1" customWidth="1"/>
    <col min="15874" max="15874" width="23.5703125" style="116" customWidth="1"/>
    <col min="15875" max="15875" width="17.28515625" style="116" customWidth="1"/>
    <col min="15876" max="15876" width="20.5703125" style="116" bestFit="1" customWidth="1"/>
    <col min="15877" max="15877" width="17.140625" style="116" customWidth="1"/>
    <col min="15878" max="15878" width="21.85546875" style="116" bestFit="1" customWidth="1"/>
    <col min="15879" max="15879" width="17.140625" style="116" bestFit="1" customWidth="1"/>
    <col min="15880" max="15880" width="18.140625" style="116" bestFit="1" customWidth="1"/>
    <col min="15881" max="15881" width="26.42578125" style="116" customWidth="1"/>
    <col min="15882" max="16126" width="9.140625" style="116"/>
    <col min="16127" max="16127" width="8.7109375" style="116" bestFit="1" customWidth="1"/>
    <col min="16128" max="16128" width="13.28515625" style="116" customWidth="1"/>
    <col min="16129" max="16129" width="16.140625" style="116" bestFit="1" customWidth="1"/>
    <col min="16130" max="16130" width="23.5703125" style="116" customWidth="1"/>
    <col min="16131" max="16131" width="17.28515625" style="116" customWidth="1"/>
    <col min="16132" max="16132" width="20.5703125" style="116" bestFit="1" customWidth="1"/>
    <col min="16133" max="16133" width="17.140625" style="116" customWidth="1"/>
    <col min="16134" max="16134" width="21.85546875" style="116" bestFit="1" customWidth="1"/>
    <col min="16135" max="16135" width="17.140625" style="116" bestFit="1" customWidth="1"/>
    <col min="16136" max="16136" width="18.140625" style="116" bestFit="1" customWidth="1"/>
    <col min="16137" max="16137" width="26.42578125" style="116" customWidth="1"/>
    <col min="16138" max="16384" width="9.140625" style="116"/>
  </cols>
  <sheetData>
    <row r="1" spans="11:12" s="134" customFormat="1" x14ac:dyDescent="0.2">
      <c r="K1" s="484"/>
      <c r="L1" s="483"/>
    </row>
    <row r="2" spans="11:12" s="134" customFormat="1" x14ac:dyDescent="0.2">
      <c r="K2" s="484"/>
      <c r="L2" s="483"/>
    </row>
    <row r="3" spans="11:12" s="134" customFormat="1" x14ac:dyDescent="0.2">
      <c r="K3" s="484"/>
      <c r="L3" s="483"/>
    </row>
    <row r="4" spans="11:12" s="134" customFormat="1" x14ac:dyDescent="0.2">
      <c r="K4" s="484"/>
      <c r="L4" s="483"/>
    </row>
    <row r="5" spans="11:12" s="134" customFormat="1" x14ac:dyDescent="0.2">
      <c r="K5" s="484"/>
      <c r="L5" s="483"/>
    </row>
    <row r="6" spans="11:12" s="134" customFormat="1" x14ac:dyDescent="0.2">
      <c r="K6" s="484"/>
      <c r="L6" s="483"/>
    </row>
    <row r="7" spans="11:12" s="134" customFormat="1" x14ac:dyDescent="0.2">
      <c r="K7" s="484"/>
      <c r="L7" s="483"/>
    </row>
    <row r="8" spans="11:12" s="134" customFormat="1" x14ac:dyDescent="0.2">
      <c r="K8" s="484"/>
      <c r="L8" s="483"/>
    </row>
    <row r="9" spans="11:12" s="134" customFormat="1" x14ac:dyDescent="0.2">
      <c r="K9" s="484"/>
      <c r="L9" s="483"/>
    </row>
    <row r="10" spans="11:12" s="134" customFormat="1" x14ac:dyDescent="0.2">
      <c r="K10" s="484"/>
      <c r="L10" s="483"/>
    </row>
    <row r="11" spans="11:12" s="134" customFormat="1" x14ac:dyDescent="0.2">
      <c r="K11" s="484"/>
      <c r="L11" s="483"/>
    </row>
    <row r="12" spans="11:12" s="134" customFormat="1" x14ac:dyDescent="0.2">
      <c r="K12" s="484"/>
      <c r="L12" s="483"/>
    </row>
    <row r="13" spans="11:12" s="134" customFormat="1" x14ac:dyDescent="0.2">
      <c r="K13" s="484"/>
      <c r="L13" s="483"/>
    </row>
    <row r="14" spans="11:12" s="134" customFormat="1" x14ac:dyDescent="0.2">
      <c r="K14" s="484"/>
      <c r="L14" s="483"/>
    </row>
    <row r="15" spans="11:12" s="134" customFormat="1" x14ac:dyDescent="0.2">
      <c r="K15" s="484"/>
      <c r="L15" s="483"/>
    </row>
    <row r="16" spans="11:12" s="134" customFormat="1" x14ac:dyDescent="0.2">
      <c r="K16" s="484"/>
      <c r="L16" s="483"/>
    </row>
    <row r="17" spans="1:17" s="134" customFormat="1" x14ac:dyDescent="0.2">
      <c r="K17" s="484"/>
      <c r="L17" s="483"/>
    </row>
    <row r="18" spans="1:17" s="134" customFormat="1" x14ac:dyDescent="0.2">
      <c r="K18" s="484"/>
      <c r="L18" s="483"/>
    </row>
    <row r="19" spans="1:17" s="134" customFormat="1" x14ac:dyDescent="0.2">
      <c r="K19" s="484"/>
      <c r="L19" s="483"/>
    </row>
    <row r="20" spans="1:17" s="134" customFormat="1" x14ac:dyDescent="0.2">
      <c r="K20" s="484"/>
      <c r="L20" s="483"/>
    </row>
    <row r="21" spans="1:17" s="134" customFormat="1" x14ac:dyDescent="0.2">
      <c r="K21" s="484"/>
      <c r="L21" s="483"/>
    </row>
    <row r="22" spans="1:17" s="134" customFormat="1" x14ac:dyDescent="0.2">
      <c r="K22" s="484"/>
      <c r="L22" s="483"/>
    </row>
    <row r="23" spans="1:17" s="134" customFormat="1" x14ac:dyDescent="0.2">
      <c r="K23" s="484"/>
      <c r="L23" s="483"/>
    </row>
    <row r="24" spans="1:17" s="134" customFormat="1" x14ac:dyDescent="0.2">
      <c r="K24" s="484"/>
      <c r="L24" s="483"/>
    </row>
    <row r="25" spans="1:17" s="134" customFormat="1" x14ac:dyDescent="0.2">
      <c r="K25" s="484"/>
      <c r="L25" s="483"/>
    </row>
    <row r="26" spans="1:17" s="134" customFormat="1" x14ac:dyDescent="0.2">
      <c r="K26" s="484"/>
      <c r="L26" s="483"/>
    </row>
    <row r="27" spans="1:17" s="134" customFormat="1" x14ac:dyDescent="0.2">
      <c r="K27" s="484"/>
      <c r="L27" s="483"/>
    </row>
    <row r="28" spans="1:17" s="134" customFormat="1" ht="24.75" customHeight="1" x14ac:dyDescent="0.25">
      <c r="A28" s="510" t="str">
        <f>CHOOSE(MODE, 'Variable Mgmt'!K11,'Variable Mgmt'!K12)</f>
        <v>SINGLE Output PSR Flyback Converter, VIN = 12 V, VOUT = 15 V, IOUT = 0.3 A</v>
      </c>
      <c r="K28" s="483"/>
      <c r="L28" s="483"/>
    </row>
    <row r="29" spans="1:17" ht="24.75" customHeight="1" thickBot="1" x14ac:dyDescent="0.25">
      <c r="A29" s="117" t="s">
        <v>543</v>
      </c>
    </row>
    <row r="30" spans="1:17" ht="18" customHeight="1" x14ac:dyDescent="0.2">
      <c r="A30" s="210" t="s">
        <v>123</v>
      </c>
      <c r="B30" s="211" t="s">
        <v>122</v>
      </c>
      <c r="C30" s="211" t="s">
        <v>6</v>
      </c>
      <c r="D30" s="665" t="s">
        <v>41</v>
      </c>
      <c r="E30" s="666"/>
      <c r="F30" s="667"/>
      <c r="G30" s="211" t="s">
        <v>116</v>
      </c>
      <c r="H30" s="211" t="s">
        <v>67</v>
      </c>
      <c r="I30" s="502" t="s">
        <v>117</v>
      </c>
      <c r="J30" s="503" t="s">
        <v>350</v>
      </c>
      <c r="K30" s="504" t="s">
        <v>359</v>
      </c>
      <c r="L30" s="477"/>
      <c r="N30" s="119"/>
      <c r="Q30" s="509"/>
    </row>
    <row r="31" spans="1:17" s="119" customFormat="1" ht="17.100000000000001" customHeight="1" x14ac:dyDescent="0.2">
      <c r="A31" s="118">
        <f>ROUNDUP('Design Converter'!E17/10,0)</f>
        <v>5</v>
      </c>
      <c r="B31" s="130" t="s">
        <v>120</v>
      </c>
      <c r="C31" s="133">
        <f>Cin</f>
        <v>47</v>
      </c>
      <c r="D31" s="663" t="str">
        <f>IF(VIN_max&gt;35, "Capacitor, Ceramic, "&amp;'Variable Mgmt'!B218&amp;", 100V, X7R, 10%", "Capacitor, Ceramic, "&amp;'Variable Mgmt'!B218&amp;", 50V, X7R, 10%")</f>
        <v>Capacitor, Ceramic, 47µF, 50V, X7R, 10%</v>
      </c>
      <c r="E31" s="664"/>
      <c r="F31" s="664"/>
      <c r="G31" s="131"/>
      <c r="H31" s="132" t="s">
        <v>118</v>
      </c>
      <c r="I31" s="489" t="s">
        <v>118</v>
      </c>
      <c r="J31" s="498" t="str">
        <f>CHOOSE(Q31,'Variable Mgmt'!T56,'Variable Mgmt'!T57,'Variable Mgmt'!T58,'Variable Mgmt'!T59,'Variable Mgmt'!T60)</f>
        <v>3.2 x 2.5</v>
      </c>
      <c r="K31" s="496">
        <f>CHOOSE(Q31,'Variable Mgmt'!U56,'Variable Mgmt'!U57,'Variable Mgmt'!U58,'Variable Mgmt'!U59,'Variable Mgmt'!U60)</f>
        <v>8</v>
      </c>
      <c r="L31" s="501"/>
      <c r="Q31" s="507">
        <v>5</v>
      </c>
    </row>
    <row r="32" spans="1:17" s="119" customFormat="1" ht="17.100000000000001" customHeight="1" x14ac:dyDescent="0.2">
      <c r="A32" s="118">
        <v>1</v>
      </c>
      <c r="B32" s="130" t="s">
        <v>121</v>
      </c>
      <c r="C32" s="133">
        <f>Cout</f>
        <v>47</v>
      </c>
      <c r="D32" s="679" t="str">
        <f>CHOOSE(Cout_Voltage_Rating, "Capacitor, Ceramic, "&amp;'Variable Mgmt'!B213&amp;", 6.3V, X7R, 10%", "Capacitor, Ceramic, "&amp;'Variable Mgmt'!B213&amp;", 10V, X7R, 10%", "Capacitor, Ceramic, "&amp;'Variable Mgmt'!B213&amp;", 16V, X7R, 10%", "Capacitor, Ceramic, "&amp;'Variable Mgmt'!B213&amp;", 25V, X7R, 10%",  "Capacitor, Ceramic, "&amp;'Variable Mgmt'!B213&amp;", 50V, X7R, 10%")</f>
        <v>Capacitor, Ceramic, 47µF, 25V, X7R, 10%</v>
      </c>
      <c r="E32" s="680"/>
      <c r="F32" s="680"/>
      <c r="G32" s="131"/>
      <c r="H32" s="132" t="s">
        <v>118</v>
      </c>
      <c r="I32" s="489" t="s">
        <v>118</v>
      </c>
      <c r="J32" s="498" t="str">
        <f>CHOOSE(Q32,'Variable Mgmt'!T56,'Variable Mgmt'!T57,'Variable Mgmt'!T58,'Variable Mgmt'!T59,'Variable Mgmt'!T60)</f>
        <v>3.2 x 2.5</v>
      </c>
      <c r="K32" s="496">
        <f>CHOOSE(Q32,'Variable Mgmt'!U56,'Variable Mgmt'!U57,'Variable Mgmt'!U58,'Variable Mgmt'!U59,'Variable Mgmt'!U60)</f>
        <v>8</v>
      </c>
      <c r="L32" s="501"/>
      <c r="Q32" s="508">
        <v>5</v>
      </c>
    </row>
    <row r="33" spans="1:17" s="119" customFormat="1" ht="17.100000000000001" customHeight="1" x14ac:dyDescent="0.2">
      <c r="A33" s="118" t="str">
        <f>CHOOSE(MODE, "-", "1")</f>
        <v>-</v>
      </c>
      <c r="B33" s="130" t="s">
        <v>650</v>
      </c>
      <c r="C33" s="133" t="str">
        <f>CHOOSE(MODE, "-", Cout2)</f>
        <v>-</v>
      </c>
      <c r="D33" s="622" t="str">
        <f>CHOOSE(MODE, "-", CHOOSE(Cout_Voltage_Rating, "Capacitor, Ceramic, "&amp;'Variable Mgmt'!F213&amp;", 6.3V, X7R, 10%", "Capacitor, Ceramic, "&amp;'Variable Mgmt'!F213&amp;", 10V, X7R, 10%", "Capacitor, Ceramic, "&amp;'Variable Mgmt'!F213&amp;", 16V, X7R, 10%", "Capacitor, Ceramic, "&amp;'Variable Mgmt'!F213&amp;", 25V, X7R, 10%",  "Capacitor, Ceramic, "&amp;'Variable Mgmt'!F213&amp;", 50V, X7R, 10%"))</f>
        <v>-</v>
      </c>
      <c r="E33" s="623"/>
      <c r="F33" s="623"/>
      <c r="G33" s="131"/>
      <c r="H33" s="132" t="str">
        <f>CHOOSE(MODE, "-", "Std")</f>
        <v>-</v>
      </c>
      <c r="I33" s="489" t="str">
        <f>CHOOSE(MODE, "-", "Std")</f>
        <v>-</v>
      </c>
      <c r="J33" s="498" t="str">
        <f>CHOOSE(MODE, "-", CHOOSE(Q33,'Variable Mgmt'!T56,'Variable Mgmt'!T57,'Variable Mgmt'!T58,'Variable Mgmt'!T59,'Variable Mgmt'!T60))</f>
        <v>-</v>
      </c>
      <c r="K33" s="496" t="str">
        <f>CHOOSE(MODE, "-", CHOOSE(Q33,'Variable Mgmt'!U56,'Variable Mgmt'!U57,'Variable Mgmt'!U58,'Variable Mgmt'!U59,'Variable Mgmt'!U60))</f>
        <v>-</v>
      </c>
      <c r="L33" s="501"/>
      <c r="Q33" s="508">
        <v>5</v>
      </c>
    </row>
    <row r="34" spans="1:17" s="119" customFormat="1" ht="17.100000000000001" customHeight="1" x14ac:dyDescent="0.2">
      <c r="A34" s="120" t="str">
        <f>CHOOSE(MODE_SS, "1", "-", "1")</f>
        <v>-</v>
      </c>
      <c r="B34" s="121" t="str">
        <f>CHOOSE(MODE_SS, "Css", "-")</f>
        <v>-</v>
      </c>
      <c r="C34" s="649" t="str">
        <f>CHOOSE(MODE_SS, 'Standard Value Calculator'!B4*1000000000&amp;"nF", "-", "100k")</f>
        <v>-</v>
      </c>
      <c r="D34" s="681" t="str">
        <f>CHOOSE(MODE_SS, "Capacitor, Ceramic, "&amp;'Standard Value Calculator'!B4*1000000000&amp;"nF"&amp;", 16V, X7R, 10%", "-")</f>
        <v>-</v>
      </c>
      <c r="E34" s="682"/>
      <c r="F34" s="682"/>
      <c r="G34" s="123" t="s">
        <v>119</v>
      </c>
      <c r="H34" s="124" t="str">
        <f>CHOOSE(MODE_SS, "Std", "-")</f>
        <v>-</v>
      </c>
      <c r="I34" s="490" t="str">
        <f>CHOOSE(MODE_SS, "Std", "-")</f>
        <v>-</v>
      </c>
      <c r="J34" s="498" t="str">
        <f>CHOOSE(MODE_SS,CHOOSE(Q34,'Variable Mgmt'!T56,'Variable Mgmt'!T57,'Variable Mgmt'!T58),"-",CHOOSE(Q34,'Variable Mgmt'!T56,'Variable Mgmt'!T57,'Variable Mgmt'!T58))</f>
        <v>-</v>
      </c>
      <c r="K34" s="496" t="str">
        <f>CHOOSE(MODE_SS, CHOOSE(Q34,'Variable Mgmt'!U56,'Variable Mgmt'!U57,'Variable Mgmt'!U58), "-", CHOOSE(Q34,'Variable Mgmt'!U56,'Variable Mgmt'!U57,'Variable Mgmt'!U58))</f>
        <v>-</v>
      </c>
      <c r="L34" s="501"/>
      <c r="Q34" s="508">
        <v>1</v>
      </c>
    </row>
    <row r="35" spans="1:17" s="119" customFormat="1" ht="17.100000000000001" customHeight="1" x14ac:dyDescent="0.2">
      <c r="A35" s="125">
        <v>1</v>
      </c>
      <c r="B35" s="126" t="s">
        <v>652</v>
      </c>
      <c r="C35" s="127" t="s">
        <v>194</v>
      </c>
      <c r="D35" s="672" t="str">
        <f>"Rectifying Diode, Schottky"</f>
        <v>Rectifying Diode, Schottky</v>
      </c>
      <c r="E35" s="673"/>
      <c r="F35" s="673"/>
      <c r="G35" s="128" t="e">
        <f>CHOOSE(SHORT_ILIM, "-", "0603")</f>
        <v>#NAME?</v>
      </c>
      <c r="H35" s="129" t="s">
        <v>118</v>
      </c>
      <c r="I35" s="491" t="s">
        <v>118</v>
      </c>
      <c r="J35" s="642" t="str">
        <f>CHOOSE(Q35,'Variable Mgmt'!Y65,'Variable Mgmt'!Y66,'Variable Mgmt'!Y67,'Variable Mgmt'!Y68)</f>
        <v>3.6 x 1.8</v>
      </c>
      <c r="K35" s="643">
        <f>CHOOSE(Q35,'Variable Mgmt'!Z65,'Variable Mgmt'!Z66,'Variable Mgmt'!Z67,'Variable Mgmt'!Z68)</f>
        <v>6.5</v>
      </c>
      <c r="L35" s="501"/>
      <c r="Q35" s="508">
        <v>3</v>
      </c>
    </row>
    <row r="36" spans="1:17" s="119" customFormat="1" ht="17.100000000000001" customHeight="1" x14ac:dyDescent="0.2">
      <c r="A36" s="125" t="str">
        <f>CHOOSE(MODE, "-", "1")</f>
        <v>-</v>
      </c>
      <c r="B36" s="126" t="s">
        <v>651</v>
      </c>
      <c r="C36" s="127" t="str">
        <f>CHOOSE(MODE, "-", "Diode")</f>
        <v>-</v>
      </c>
      <c r="D36" s="670" t="str">
        <f>CHOOSE(MODE, "-", "Rectifying Diode, Schottky")</f>
        <v>-</v>
      </c>
      <c r="E36" s="671"/>
      <c r="F36" s="671"/>
      <c r="G36" s="128" t="s">
        <v>119</v>
      </c>
      <c r="H36" s="129" t="str">
        <f>CHOOSE(MODE, "-", "Std")</f>
        <v>-</v>
      </c>
      <c r="I36" s="491" t="str">
        <f>CHOOSE(MODE, "-", "Std")</f>
        <v>-</v>
      </c>
      <c r="J36" s="642" t="str">
        <f>CHOOSE(MODE, "-", CHOOSE(Q36,'Variable Mgmt'!Y65,'Variable Mgmt'!Y66,'Variable Mgmt'!Y67,'Variable Mgmt'!Y68))</f>
        <v>-</v>
      </c>
      <c r="K36" s="643" t="str">
        <f>CHOOSE(MODE, "-", CHOOSE(Q36,'Variable Mgmt'!Z65,'Variable Mgmt'!Z66,'Variable Mgmt'!Z67,'Variable Mgmt'!Z68))</f>
        <v>-</v>
      </c>
      <c r="L36" s="501"/>
      <c r="Q36" s="508">
        <v>3</v>
      </c>
    </row>
    <row r="37" spans="1:17" s="119" customFormat="1" ht="17.100000000000001" customHeight="1" x14ac:dyDescent="0.2">
      <c r="A37" s="125">
        <v>1</v>
      </c>
      <c r="B37" s="126" t="s">
        <v>653</v>
      </c>
      <c r="C37" s="127" t="str">
        <f>"Diode"</f>
        <v>Diode</v>
      </c>
      <c r="D37" s="647" t="str">
        <f>"Clamp Circuit Diode, Fast Recovery"</f>
        <v>Clamp Circuit Diode, Fast Recovery</v>
      </c>
      <c r="E37" s="648"/>
      <c r="F37" s="648"/>
      <c r="G37" s="128"/>
      <c r="H37" s="129" t="s">
        <v>118</v>
      </c>
      <c r="I37" s="491" t="s">
        <v>118</v>
      </c>
      <c r="J37" s="642" t="str">
        <f>CHOOSE(Q37,'Variable Mgmt'!Y65,'Variable Mgmt'!Y66,'Variable Mgmt'!Y67,'Variable Mgmt'!Y68)</f>
        <v>2.5 x 1.25</v>
      </c>
      <c r="K37" s="643">
        <f>CHOOSE(Q37,'Variable Mgmt'!Z65,'Variable Mgmt'!Z66,'Variable Mgmt'!Z67,'Variable Mgmt'!Z68)</f>
        <v>3.2</v>
      </c>
      <c r="L37" s="501"/>
      <c r="Q37" s="508">
        <v>2</v>
      </c>
    </row>
    <row r="38" spans="1:17" s="119" customFormat="1" ht="17.100000000000001" customHeight="1" x14ac:dyDescent="0.2">
      <c r="A38" s="125">
        <v>1</v>
      </c>
      <c r="B38" s="126" t="s">
        <v>648</v>
      </c>
      <c r="C38" s="127" t="s">
        <v>649</v>
      </c>
      <c r="D38" s="670" t="str">
        <f>"Clamp Circuit Diode, Zener, 24V"</f>
        <v>Clamp Circuit Diode, Zener, 24V</v>
      </c>
      <c r="E38" s="671"/>
      <c r="F38" s="671"/>
      <c r="G38" s="128" t="s">
        <v>119</v>
      </c>
      <c r="H38" s="129" t="s">
        <v>118</v>
      </c>
      <c r="I38" s="491" t="s">
        <v>118</v>
      </c>
      <c r="J38" s="642" t="str">
        <f>CHOOSE(Q38,'Variable Mgmt'!T56,'Variable Mgmt'!T57,'Variable Mgmt'!T58)</f>
        <v>2.0 x 1.25</v>
      </c>
      <c r="K38" s="643">
        <f>CHOOSE(Q38,'Variable Mgmt'!Z65,'Variable Mgmt'!Z66,'Variable Mgmt'!Z67,'Variable Mgmt'!Z68)</f>
        <v>6.5</v>
      </c>
      <c r="L38" s="501"/>
      <c r="Q38" s="508">
        <v>3</v>
      </c>
    </row>
    <row r="39" spans="1:17" s="119" customFormat="1" ht="17.100000000000001" customHeight="1" x14ac:dyDescent="0.2">
      <c r="A39" s="125">
        <v>1</v>
      </c>
      <c r="B39" s="126" t="s">
        <v>663</v>
      </c>
      <c r="C39" s="127" t="str">
        <f>Vout*1.1&amp;"V"</f>
        <v>16.5V</v>
      </c>
      <c r="D39" s="647" t="str">
        <f>"Output Clamp Diode, Zener, "&amp;ROUND(Vout*1.125,0)&amp;"V"</f>
        <v>Output Clamp Diode, Zener, 17V</v>
      </c>
      <c r="E39" s="648"/>
      <c r="F39" s="648"/>
      <c r="G39" s="128"/>
      <c r="H39" s="129" t="s">
        <v>118</v>
      </c>
      <c r="I39" s="491" t="s">
        <v>118</v>
      </c>
      <c r="J39" s="642" t="str">
        <f>CHOOSE(Q39,'Variable Mgmt'!T56,'Variable Mgmt'!T57,'Variable Mgmt'!T58)</f>
        <v>1.0 x 0.5</v>
      </c>
      <c r="K39" s="643">
        <f>CHOOSE(Q39,'Variable Mgmt'!Z65,'Variable Mgmt'!Z66,'Variable Mgmt'!Z67,'Variable Mgmt'!Z68)</f>
        <v>1.3</v>
      </c>
      <c r="L39" s="501"/>
      <c r="Q39" s="508">
        <v>1</v>
      </c>
    </row>
    <row r="40" spans="1:17" s="119" customFormat="1" ht="17.100000000000001" customHeight="1" x14ac:dyDescent="0.2">
      <c r="A40" s="120">
        <v>1</v>
      </c>
      <c r="B40" s="121" t="s">
        <v>654</v>
      </c>
      <c r="C40" s="122">
        <v>12.1</v>
      </c>
      <c r="D40" s="668">
        <f t="shared" ref="D40" si="0">C40</f>
        <v>12.1</v>
      </c>
      <c r="E40" s="669"/>
      <c r="F40" s="669"/>
      <c r="G40" s="123" t="s">
        <v>119</v>
      </c>
      <c r="H40" s="124" t="s">
        <v>118</v>
      </c>
      <c r="I40" s="490" t="s">
        <v>118</v>
      </c>
      <c r="J40" s="498" t="str">
        <f>CHOOSE(Q40,'Variable Mgmt'!T56,'Variable Mgmt'!T57,'Variable Mgmt'!T58)</f>
        <v>1.0 x 0.5</v>
      </c>
      <c r="K40" s="496">
        <f>CHOOSE(Q40,'Variable Mgmt'!U56,'Variable Mgmt'!U57,'Variable Mgmt'!U58,'Variable Mgmt'!U59,'Variable Mgmt'!U60)</f>
        <v>0.5</v>
      </c>
      <c r="L40" s="501"/>
      <c r="Q40" s="508">
        <v>1</v>
      </c>
    </row>
    <row r="41" spans="1:17" s="119" customFormat="1" ht="17.100000000000001" customHeight="1" x14ac:dyDescent="0.2">
      <c r="A41" s="120">
        <v>1</v>
      </c>
      <c r="B41" s="121" t="s">
        <v>546</v>
      </c>
      <c r="C41" s="122">
        <f>Rfb/1000</f>
        <v>457.5</v>
      </c>
      <c r="D41" s="668">
        <f>C41</f>
        <v>457.5</v>
      </c>
      <c r="E41" s="669"/>
      <c r="F41" s="669"/>
      <c r="G41" s="123" t="s">
        <v>119</v>
      </c>
      <c r="H41" s="124" t="s">
        <v>118</v>
      </c>
      <c r="I41" s="490" t="s">
        <v>118</v>
      </c>
      <c r="J41" s="498" t="str">
        <f>CHOOSE(Q41,'Variable Mgmt'!T56,'Variable Mgmt'!T57,'Variable Mgmt'!T58)</f>
        <v>1.0 x 0.5</v>
      </c>
      <c r="K41" s="496">
        <f>CHOOSE(Q41,'Variable Mgmt'!U56,'Variable Mgmt'!U57,'Variable Mgmt'!U58,'Variable Mgmt'!U59,'Variable Mgmt'!U60)</f>
        <v>0.5</v>
      </c>
      <c r="L41" s="501"/>
      <c r="Q41" s="508">
        <v>1</v>
      </c>
    </row>
    <row r="42" spans="1:17" s="119" customFormat="1" ht="17.100000000000001" customHeight="1" x14ac:dyDescent="0.2">
      <c r="A42" s="120" t="str">
        <f>CHOOSE(MODE_UVLO, "1", "-")</f>
        <v>1</v>
      </c>
      <c r="B42" s="121" t="s">
        <v>126</v>
      </c>
      <c r="C42" s="469" t="str">
        <f>CHOOSE(MODE_UVLO, 'Variable Mgmt'!H237, "-")</f>
        <v>56.2k</v>
      </c>
      <c r="D42" s="677" t="str">
        <f>CHOOSE(MODE_UVLO, "Resistor, Chip, "&amp;'Variable Mgmt'!C237&amp;", 1/16W, 1%", "-")</f>
        <v>Resistor, Chip, 56.2kΩ, 1/16W, 1%</v>
      </c>
      <c r="E42" s="678"/>
      <c r="F42" s="678"/>
      <c r="G42" s="123" t="s">
        <v>119</v>
      </c>
      <c r="H42" s="124" t="str">
        <f t="shared" ref="H42:I43" si="1">CHOOSE(MODE_UVLO, "Std", "-")</f>
        <v>Std</v>
      </c>
      <c r="I42" s="490" t="str">
        <f t="shared" si="1"/>
        <v>Std</v>
      </c>
      <c r="J42" s="498" t="str">
        <f>CHOOSE(MODE_UVLO, CHOOSE(Q42,'Variable Mgmt'!T56,'Variable Mgmt'!T57,'Variable Mgmt'!T58), "-")</f>
        <v>1.0 x 0.5</v>
      </c>
      <c r="K42" s="496">
        <f>CHOOSE(MODE_UVLO, CHOOSE(Q42,'Variable Mgmt'!U56,'Variable Mgmt'!U57,'Variable Mgmt'!U58,'Variable Mgmt'!U59,'Variable Mgmt'!U60),"-")</f>
        <v>0.5</v>
      </c>
      <c r="L42" s="501"/>
      <c r="Q42" s="508">
        <v>1</v>
      </c>
    </row>
    <row r="43" spans="1:17" s="119" customFormat="1" ht="17.100000000000001" customHeight="1" x14ac:dyDescent="0.2">
      <c r="A43" s="120" t="str">
        <f>CHOOSE(MODE_UVLO, "1", "-")</f>
        <v>1</v>
      </c>
      <c r="B43" s="121" t="s">
        <v>127</v>
      </c>
      <c r="C43" s="469" t="str">
        <f>CHOOSE(MODE_UVLO, 'Variable Mgmt'!H238, "-")</f>
        <v>16.9k</v>
      </c>
      <c r="D43" s="677" t="str">
        <f>CHOOSE(MODE_UVLO, "Resistor, Chip, "&amp;'Variable Mgmt'!C238&amp;", 1/16W, 1%", "-")</f>
        <v>Resistor, Chip, 16.9kΩ, 1/16W, 1%</v>
      </c>
      <c r="E43" s="678"/>
      <c r="F43" s="678"/>
      <c r="G43" s="123" t="s">
        <v>119</v>
      </c>
      <c r="H43" s="124" t="str">
        <f t="shared" si="1"/>
        <v>Std</v>
      </c>
      <c r="I43" s="490" t="str">
        <f t="shared" si="1"/>
        <v>Std</v>
      </c>
      <c r="J43" s="498" t="str">
        <f>CHOOSE(MODE_UVLO, CHOOSE(Q43,'Variable Mgmt'!T56,'Variable Mgmt'!T57,'Variable Mgmt'!T58), "-")</f>
        <v>1.0 x 0.5</v>
      </c>
      <c r="K43" s="496">
        <f>CHOOSE(MODE_UVLO, CHOOSE(Q43,'Variable Mgmt'!U56,'Variable Mgmt'!U57,'Variable Mgmt'!U58,'Variable Mgmt'!U59,'Variable Mgmt'!U60),"-")</f>
        <v>0.5</v>
      </c>
      <c r="L43" s="501"/>
      <c r="Q43" s="508">
        <v>1</v>
      </c>
    </row>
    <row r="44" spans="1:17" s="119" customFormat="1" ht="17.100000000000001" customHeight="1" x14ac:dyDescent="0.2">
      <c r="A44" s="120" t="str">
        <f>CHOOSE(MODE_TC, "1", "-")</f>
        <v>-</v>
      </c>
      <c r="B44" s="121" t="s">
        <v>533</v>
      </c>
      <c r="C44" s="122" t="str">
        <f>CHOOSE(MODE_TC, RTC, "-")</f>
        <v>-</v>
      </c>
      <c r="D44" s="668" t="str">
        <f>CHOOSE(MODE_TC, "Resistor, Chip, "&amp;'Variable Mgmt'!B233&amp;", 1/16W, 1%", "-")</f>
        <v>-</v>
      </c>
      <c r="E44" s="669"/>
      <c r="F44" s="669"/>
      <c r="G44" s="123" t="s">
        <v>119</v>
      </c>
      <c r="H44" s="124" t="str">
        <f>CHOOSE(MODE_TC, "Std", "-")</f>
        <v>-</v>
      </c>
      <c r="I44" s="490" t="str">
        <f>CHOOSE(MODE_TC, "Std", "-")</f>
        <v>-</v>
      </c>
      <c r="J44" s="498" t="str">
        <f>CHOOSE(MODE_TC, CHOOSE(Q44,'Variable Mgmt'!T56,'Variable Mgmt'!T377,'Variable Mgmt'!T58), "-")</f>
        <v>-</v>
      </c>
      <c r="K44" s="496" t="str">
        <f>CHOOSE(MODE_TC, CHOOSE(Q44,'Variable Mgmt'!U56,'Variable Mgmt'!U57,'Variable Mgmt'!U58,'Variable Mgmt'!U59,'Variable Mgmt'!U60),"-")</f>
        <v>-</v>
      </c>
      <c r="L44" s="501"/>
      <c r="Q44" s="508">
        <v>1</v>
      </c>
    </row>
    <row r="45" spans="1:17" s="645" customFormat="1" ht="16.5" customHeight="1" x14ac:dyDescent="0.2">
      <c r="A45" s="125">
        <v>1</v>
      </c>
      <c r="B45" s="126" t="s">
        <v>545</v>
      </c>
      <c r="C45" s="641">
        <f>'Design Converter'!L7</f>
        <v>40</v>
      </c>
      <c r="D45" s="674" t="str">
        <f>"Transformer, "&amp;L*1000000&amp;"µH, "&amp;'Variable Mgmt'!W44&amp;", "&amp;Rdcr_pri*1000&amp;"mΩ Pri DCR, "&amp;"1.35A Sat"</f>
        <v>Transformer, 40µH, 1 : 1, 0mΩ Pri DCR, 1.35A Sat</v>
      </c>
      <c r="E45" s="675"/>
      <c r="F45" s="676"/>
      <c r="G45" s="129" t="s">
        <v>125</v>
      </c>
      <c r="H45" s="129" t="s">
        <v>124</v>
      </c>
      <c r="I45" s="491" t="s">
        <v>124</v>
      </c>
      <c r="J45" s="642" t="str">
        <f>CHOOSE(Q45,'Variable Mgmt'!T65,'Variable Mgmt'!T66,'Variable Mgmt'!T67,'Variable Mgmt'!T68,'Variable Mgmt'!T69,'Variable Mgmt'!T70,'Variable Mgmt'!T71)</f>
        <v>10 x 10</v>
      </c>
      <c r="K45" s="650">
        <f>CHOOSE(Q45,'Variable Mgmt'!U65,'Variable Mgmt'!U66,'Variable Mgmt'!U67,'Variable Mgmt'!U68,'Variable Mgmt'!U69,'Variable Mgmt'!U70,'Variable Mgmt'!U71)</f>
        <v>100</v>
      </c>
      <c r="L45" s="644"/>
      <c r="Q45" s="646">
        <v>5</v>
      </c>
    </row>
    <row r="46" spans="1:17" ht="17.100000000000001" customHeight="1" x14ac:dyDescent="0.2">
      <c r="A46" s="473">
        <v>1</v>
      </c>
      <c r="B46" s="479" t="s">
        <v>128</v>
      </c>
      <c r="C46" s="500" t="s">
        <v>540</v>
      </c>
      <c r="D46" s="480" t="s">
        <v>541</v>
      </c>
      <c r="E46" s="481"/>
      <c r="F46" s="482"/>
      <c r="G46" s="478" t="s">
        <v>542</v>
      </c>
      <c r="H46" s="478" t="s">
        <v>540</v>
      </c>
      <c r="I46" s="480" t="s">
        <v>360</v>
      </c>
      <c r="J46" s="499" t="s">
        <v>358</v>
      </c>
      <c r="K46" s="497">
        <v>16</v>
      </c>
      <c r="L46" s="477"/>
      <c r="M46" s="477"/>
      <c r="N46" s="119"/>
      <c r="Q46" s="511"/>
    </row>
    <row r="47" spans="1:17" ht="17.100000000000001" customHeight="1" x14ac:dyDescent="0.2">
      <c r="J47" s="119"/>
      <c r="K47" s="487"/>
      <c r="L47" s="477"/>
      <c r="M47" s="477"/>
      <c r="N47" s="119"/>
    </row>
    <row r="48" spans="1:17" ht="17.25" customHeight="1" x14ac:dyDescent="0.25">
      <c r="H48" s="1" t="s">
        <v>362</v>
      </c>
      <c r="I48" s="1"/>
      <c r="J48" s="1"/>
      <c r="K48" s="505">
        <f>SUM(K31:K46)*1.25</f>
        <v>189.375</v>
      </c>
      <c r="L48" s="512" t="s">
        <v>364</v>
      </c>
      <c r="M48" s="506">
        <f>K48/25.4/25.4</f>
        <v>0.29353183706367414</v>
      </c>
      <c r="N48" s="512" t="s">
        <v>361</v>
      </c>
    </row>
    <row r="49" spans="1:14" ht="17.100000000000001" customHeight="1" x14ac:dyDescent="0.25">
      <c r="J49" s="492"/>
      <c r="K49" s="493"/>
      <c r="L49" s="494"/>
      <c r="M49" s="495"/>
      <c r="N49" s="494"/>
    </row>
    <row r="50" spans="1:14" ht="20.25" customHeight="1" x14ac:dyDescent="0.2">
      <c r="A50" s="486" t="s">
        <v>137</v>
      </c>
    </row>
    <row r="51" spans="1:14" x14ac:dyDescent="0.2">
      <c r="A51" s="116" t="s">
        <v>544</v>
      </c>
    </row>
    <row r="52" spans="1:14" x14ac:dyDescent="0.2">
      <c r="A52" s="116" t="s">
        <v>363</v>
      </c>
      <c r="K52" s="485"/>
    </row>
    <row r="53" spans="1:14" x14ac:dyDescent="0.2">
      <c r="A53" s="116" t="s">
        <v>655</v>
      </c>
    </row>
    <row r="54" spans="1:14" x14ac:dyDescent="0.2">
      <c r="A54" s="116" t="s">
        <v>656</v>
      </c>
    </row>
    <row r="55" spans="1:14" x14ac:dyDescent="0.2">
      <c r="A55" s="116" t="s">
        <v>670</v>
      </c>
    </row>
  </sheetData>
  <sheetProtection password="CCC8" sheet="1" objects="1" scenarios="1" selectLockedCells="1" selectUnlockedCells="1"/>
  <mergeCells count="14">
    <mergeCell ref="H48:J48"/>
    <mergeCell ref="D31:F31"/>
    <mergeCell ref="D30:F30"/>
    <mergeCell ref="D40:F40"/>
    <mergeCell ref="D41:F41"/>
    <mergeCell ref="D38:F38"/>
    <mergeCell ref="D36:F36"/>
    <mergeCell ref="D35:F35"/>
    <mergeCell ref="D45:F45"/>
    <mergeCell ref="D42:F42"/>
    <mergeCell ref="D43:F43"/>
    <mergeCell ref="D44:F44"/>
    <mergeCell ref="D32:F32"/>
    <mergeCell ref="D34:F34"/>
  </mergeCells>
  <phoneticPr fontId="82" type="noConversion"/>
  <printOptions horizontalCentered="1"/>
  <pageMargins left="0.23" right="0.23" top="0.7" bottom="0.61" header="0.3" footer="0.5"/>
  <pageSetup scale="84" fitToHeight="2" orientation="landscape" r:id="rId1"/>
  <headerFooter alignWithMargins="0"/>
  <rowBreaks count="1" manualBreakCount="1">
    <brk id="27" max="9" man="1"/>
  </rowBreaks>
  <ignoredErrors>
    <ignoredError sqref="G34 G36 G38 G42:G43 G40" numberStoredAsText="1"/>
    <ignoredError sqref="J36:K36" 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674505" r:id="rId4" name="Drop Down 713">
              <controlPr defaultSize="0" autoLine="0" autoPict="0">
                <anchor moveWithCells="1">
                  <from>
                    <xdr:col>6</xdr:col>
                    <xdr:colOff>0</xdr:colOff>
                    <xdr:row>30</xdr:row>
                    <xdr:rowOff>9525</xdr:rowOff>
                  </from>
                  <to>
                    <xdr:col>6</xdr:col>
                    <xdr:colOff>876300</xdr:colOff>
                    <xdr:row>31</xdr:row>
                    <xdr:rowOff>0</xdr:rowOff>
                  </to>
                </anchor>
              </controlPr>
            </control>
          </mc:Choice>
        </mc:AlternateContent>
        <mc:AlternateContent xmlns:mc="http://schemas.openxmlformats.org/markup-compatibility/2006">
          <mc:Choice Requires="x14">
            <control shapeId="674508" r:id="rId5" name="Drop Down 716">
              <controlPr defaultSize="0" autoLine="0" autoPict="0">
                <anchor moveWithCells="1">
                  <from>
                    <xdr:col>6</xdr:col>
                    <xdr:colOff>0</xdr:colOff>
                    <xdr:row>31</xdr:row>
                    <xdr:rowOff>9525</xdr:rowOff>
                  </from>
                  <to>
                    <xdr:col>6</xdr:col>
                    <xdr:colOff>876300</xdr:colOff>
                    <xdr:row>32</xdr:row>
                    <xdr:rowOff>0</xdr:rowOff>
                  </to>
                </anchor>
              </controlPr>
            </control>
          </mc:Choice>
        </mc:AlternateContent>
        <mc:AlternateContent xmlns:mc="http://schemas.openxmlformats.org/markup-compatibility/2006">
          <mc:Choice Requires="x14">
            <control shapeId="674527" r:id="rId6" name="Drop Down 735">
              <controlPr defaultSize="0" autoLine="0" autoPict="0">
                <anchor moveWithCells="1">
                  <from>
                    <xdr:col>6</xdr:col>
                    <xdr:colOff>0</xdr:colOff>
                    <xdr:row>35</xdr:row>
                    <xdr:rowOff>9525</xdr:rowOff>
                  </from>
                  <to>
                    <xdr:col>6</xdr:col>
                    <xdr:colOff>876300</xdr:colOff>
                    <xdr:row>36</xdr:row>
                    <xdr:rowOff>0</xdr:rowOff>
                  </to>
                </anchor>
              </controlPr>
            </control>
          </mc:Choice>
        </mc:AlternateContent>
        <mc:AlternateContent xmlns:mc="http://schemas.openxmlformats.org/markup-compatibility/2006">
          <mc:Choice Requires="x14">
            <control shapeId="674534" r:id="rId7" name="Drop Down 742">
              <controlPr defaultSize="0" autoLine="0" autoPict="0">
                <anchor moveWithCells="1">
                  <from>
                    <xdr:col>6</xdr:col>
                    <xdr:colOff>0</xdr:colOff>
                    <xdr:row>40</xdr:row>
                    <xdr:rowOff>9525</xdr:rowOff>
                  </from>
                  <to>
                    <xdr:col>6</xdr:col>
                    <xdr:colOff>876300</xdr:colOff>
                    <xdr:row>41</xdr:row>
                    <xdr:rowOff>0</xdr:rowOff>
                  </to>
                </anchor>
              </controlPr>
            </control>
          </mc:Choice>
        </mc:AlternateContent>
        <mc:AlternateContent xmlns:mc="http://schemas.openxmlformats.org/markup-compatibility/2006">
          <mc:Choice Requires="x14">
            <control shapeId="674536" r:id="rId8" name="Drop Down 744">
              <controlPr defaultSize="0" autoLine="0" autoPict="0">
                <anchor moveWithCells="1">
                  <from>
                    <xdr:col>6</xdr:col>
                    <xdr:colOff>0</xdr:colOff>
                    <xdr:row>37</xdr:row>
                    <xdr:rowOff>9525</xdr:rowOff>
                  </from>
                  <to>
                    <xdr:col>6</xdr:col>
                    <xdr:colOff>876300</xdr:colOff>
                    <xdr:row>38</xdr:row>
                    <xdr:rowOff>0</xdr:rowOff>
                  </to>
                </anchor>
              </controlPr>
            </control>
          </mc:Choice>
        </mc:AlternateContent>
        <mc:AlternateContent xmlns:mc="http://schemas.openxmlformats.org/markup-compatibility/2006">
          <mc:Choice Requires="x14">
            <control shapeId="674539" r:id="rId9" name="Drop Down 747">
              <controlPr defaultSize="0" autoLine="0" autoPict="0">
                <anchor moveWithCells="1">
                  <from>
                    <xdr:col>6</xdr:col>
                    <xdr:colOff>0</xdr:colOff>
                    <xdr:row>36</xdr:row>
                    <xdr:rowOff>9525</xdr:rowOff>
                  </from>
                  <to>
                    <xdr:col>6</xdr:col>
                    <xdr:colOff>876300</xdr:colOff>
                    <xdr:row>37</xdr:row>
                    <xdr:rowOff>0</xdr:rowOff>
                  </to>
                </anchor>
              </controlPr>
            </control>
          </mc:Choice>
        </mc:AlternateContent>
        <mc:AlternateContent xmlns:mc="http://schemas.openxmlformats.org/markup-compatibility/2006">
          <mc:Choice Requires="x14">
            <control shapeId="674540" r:id="rId10" name="Drop Down 748">
              <controlPr defaultSize="0" autoLine="0" autoPict="0">
                <anchor moveWithCells="1">
                  <from>
                    <xdr:col>6</xdr:col>
                    <xdr:colOff>0</xdr:colOff>
                    <xdr:row>39</xdr:row>
                    <xdr:rowOff>9525</xdr:rowOff>
                  </from>
                  <to>
                    <xdr:col>6</xdr:col>
                    <xdr:colOff>876300</xdr:colOff>
                    <xdr:row>40</xdr:row>
                    <xdr:rowOff>0</xdr:rowOff>
                  </to>
                </anchor>
              </controlPr>
            </control>
          </mc:Choice>
        </mc:AlternateContent>
        <mc:AlternateContent xmlns:mc="http://schemas.openxmlformats.org/markup-compatibility/2006">
          <mc:Choice Requires="x14">
            <control shapeId="674541" r:id="rId11" name="Drop Down 749">
              <controlPr defaultSize="0" autoLine="0" autoPict="0">
                <anchor moveWithCells="1">
                  <from>
                    <xdr:col>6</xdr:col>
                    <xdr:colOff>0</xdr:colOff>
                    <xdr:row>41</xdr:row>
                    <xdr:rowOff>9525</xdr:rowOff>
                  </from>
                  <to>
                    <xdr:col>6</xdr:col>
                    <xdr:colOff>876300</xdr:colOff>
                    <xdr:row>42</xdr:row>
                    <xdr:rowOff>0</xdr:rowOff>
                  </to>
                </anchor>
              </controlPr>
            </control>
          </mc:Choice>
        </mc:AlternateContent>
        <mc:AlternateContent xmlns:mc="http://schemas.openxmlformats.org/markup-compatibility/2006">
          <mc:Choice Requires="x14">
            <control shapeId="674542" r:id="rId12" name="Drop Down 750">
              <controlPr defaultSize="0" autoLine="0" autoPict="0">
                <anchor moveWithCells="1">
                  <from>
                    <xdr:col>6</xdr:col>
                    <xdr:colOff>0</xdr:colOff>
                    <xdr:row>42</xdr:row>
                    <xdr:rowOff>9525</xdr:rowOff>
                  </from>
                  <to>
                    <xdr:col>6</xdr:col>
                    <xdr:colOff>876300</xdr:colOff>
                    <xdr:row>43</xdr:row>
                    <xdr:rowOff>0</xdr:rowOff>
                  </to>
                </anchor>
              </controlPr>
            </control>
          </mc:Choice>
        </mc:AlternateContent>
        <mc:AlternateContent xmlns:mc="http://schemas.openxmlformats.org/markup-compatibility/2006">
          <mc:Choice Requires="x14">
            <control shapeId="674543" r:id="rId13" name="Drop Down 751">
              <controlPr defaultSize="0" autoLine="0" autoPict="0">
                <anchor moveWithCells="1">
                  <from>
                    <xdr:col>6</xdr:col>
                    <xdr:colOff>0</xdr:colOff>
                    <xdr:row>43</xdr:row>
                    <xdr:rowOff>9525</xdr:rowOff>
                  </from>
                  <to>
                    <xdr:col>6</xdr:col>
                    <xdr:colOff>876300</xdr:colOff>
                    <xdr:row>44</xdr:row>
                    <xdr:rowOff>0</xdr:rowOff>
                  </to>
                </anchor>
              </controlPr>
            </control>
          </mc:Choice>
        </mc:AlternateContent>
        <mc:AlternateContent xmlns:mc="http://schemas.openxmlformats.org/markup-compatibility/2006">
          <mc:Choice Requires="x14">
            <control shapeId="674544" r:id="rId14" name="Drop Down 752">
              <controlPr defaultSize="0" autoLine="0" autoPict="0">
                <anchor moveWithCells="1">
                  <from>
                    <xdr:col>6</xdr:col>
                    <xdr:colOff>0</xdr:colOff>
                    <xdr:row>34</xdr:row>
                    <xdr:rowOff>9525</xdr:rowOff>
                  </from>
                  <to>
                    <xdr:col>6</xdr:col>
                    <xdr:colOff>876300</xdr:colOff>
                    <xdr:row>35</xdr:row>
                    <xdr:rowOff>0</xdr:rowOff>
                  </to>
                </anchor>
              </controlPr>
            </control>
          </mc:Choice>
        </mc:AlternateContent>
        <mc:AlternateContent xmlns:mc="http://schemas.openxmlformats.org/markup-compatibility/2006">
          <mc:Choice Requires="x14">
            <control shapeId="674632" r:id="rId15" name="Drop Down 840">
              <controlPr defaultSize="0" autoLine="0" autoPict="0">
                <anchor moveWithCells="1">
                  <from>
                    <xdr:col>6</xdr:col>
                    <xdr:colOff>0</xdr:colOff>
                    <xdr:row>44</xdr:row>
                    <xdr:rowOff>9525</xdr:rowOff>
                  </from>
                  <to>
                    <xdr:col>6</xdr:col>
                    <xdr:colOff>876300</xdr:colOff>
                    <xdr:row>45</xdr:row>
                    <xdr:rowOff>0</xdr:rowOff>
                  </to>
                </anchor>
              </controlPr>
            </control>
          </mc:Choice>
        </mc:AlternateContent>
        <mc:AlternateContent xmlns:mc="http://schemas.openxmlformats.org/markup-compatibility/2006">
          <mc:Choice Requires="x14">
            <control shapeId="674633" r:id="rId16" name="Drop Down 841">
              <controlPr defaultSize="0" autoLine="0" autoPict="0">
                <anchor moveWithCells="1">
                  <from>
                    <xdr:col>6</xdr:col>
                    <xdr:colOff>0</xdr:colOff>
                    <xdr:row>33</xdr:row>
                    <xdr:rowOff>9525</xdr:rowOff>
                  </from>
                  <to>
                    <xdr:col>6</xdr:col>
                    <xdr:colOff>876300</xdr:colOff>
                    <xdr:row>34</xdr:row>
                    <xdr:rowOff>0</xdr:rowOff>
                  </to>
                </anchor>
              </controlPr>
            </control>
          </mc:Choice>
        </mc:AlternateContent>
        <mc:AlternateContent xmlns:mc="http://schemas.openxmlformats.org/markup-compatibility/2006">
          <mc:Choice Requires="x14">
            <control shapeId="706019" r:id="rId17" name="Drop Down 1507">
              <controlPr defaultSize="0" autoLine="0" autoPict="0">
                <anchor moveWithCells="1">
                  <from>
                    <xdr:col>5</xdr:col>
                    <xdr:colOff>895350</xdr:colOff>
                    <xdr:row>32</xdr:row>
                    <xdr:rowOff>9525</xdr:rowOff>
                  </from>
                  <to>
                    <xdr:col>6</xdr:col>
                    <xdr:colOff>866775</xdr:colOff>
                    <xdr:row>33</xdr:row>
                    <xdr:rowOff>0</xdr:rowOff>
                  </to>
                </anchor>
              </controlPr>
            </control>
          </mc:Choice>
        </mc:AlternateContent>
        <mc:AlternateContent xmlns:mc="http://schemas.openxmlformats.org/markup-compatibility/2006">
          <mc:Choice Requires="x14">
            <control shapeId="706028" r:id="rId18" name="Drop Down 1516">
              <controlPr defaultSize="0" autoLine="0" autoPict="0">
                <anchor moveWithCells="1">
                  <from>
                    <xdr:col>6</xdr:col>
                    <xdr:colOff>0</xdr:colOff>
                    <xdr:row>38</xdr:row>
                    <xdr:rowOff>9525</xdr:rowOff>
                  </from>
                  <to>
                    <xdr:col>6</xdr:col>
                    <xdr:colOff>876300</xdr:colOff>
                    <xdr:row>39</xdr:row>
                    <xdr:rowOff>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2" id="{4B8E3D35-A815-4471-905F-8419AAA9FC23}">
            <xm:f>'Variable Mgmt'!$B$52=TRUE</xm:f>
            <x14:dxf>
              <font>
                <color theme="0"/>
              </font>
            </x14:dxf>
          </x14:cfRule>
          <xm:sqref>B36</xm:sqref>
        </x14:conditionalFormatting>
        <x14:conditionalFormatting xmlns:xm="http://schemas.microsoft.com/office/excel/2006/main">
          <x14:cfRule type="expression" priority="1" id="{8521D621-BE3D-4AAE-900E-18DA0D0FAC8E}">
            <xm:f>'Variable Mgmt'!$B$52=TRUE</xm:f>
            <x14:dxf>
              <font>
                <color rgb="FFFFFF99"/>
              </font>
            </x14:dxf>
          </x14:cfRule>
          <xm:sqref>B33</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7030A0"/>
    <pageSetUpPr fitToPage="1"/>
  </sheetPr>
  <dimension ref="A1:R6"/>
  <sheetViews>
    <sheetView topLeftCell="A4" zoomScaleNormal="100" workbookViewId="0">
      <selection activeCell="Y58" sqref="Y58"/>
    </sheetView>
  </sheetViews>
  <sheetFormatPr defaultColWidth="9.140625" defaultRowHeight="12.75" x14ac:dyDescent="0.2"/>
  <cols>
    <col min="1" max="13" width="9.140625" style="86"/>
    <col min="14" max="14" width="11.85546875" style="86" customWidth="1"/>
    <col min="15" max="16" width="9.140625" style="86"/>
    <col min="17" max="17" width="15.7109375" style="86" customWidth="1"/>
    <col min="18" max="16384" width="9.140625" style="86"/>
  </cols>
  <sheetData>
    <row r="1" spans="1:18" s="77" customFormat="1" ht="47.25" customHeight="1" x14ac:dyDescent="0.2">
      <c r="A1" s="683" t="s">
        <v>697</v>
      </c>
      <c r="B1" s="684"/>
      <c r="C1" s="684"/>
      <c r="D1" s="684"/>
      <c r="E1" s="684"/>
      <c r="F1" s="684"/>
      <c r="G1" s="684"/>
      <c r="H1" s="684"/>
      <c r="I1" s="684"/>
      <c r="J1" s="684"/>
      <c r="K1" s="684"/>
      <c r="L1" s="684"/>
      <c r="M1" s="684"/>
      <c r="N1" s="684"/>
      <c r="O1" s="684"/>
      <c r="P1" s="684"/>
      <c r="Q1" s="684"/>
      <c r="R1" s="84"/>
    </row>
    <row r="6" spans="1:18" ht="20.25" x14ac:dyDescent="0.3">
      <c r="B6" s="87" t="s">
        <v>700</v>
      </c>
      <c r="N6" s="87" t="s">
        <v>696</v>
      </c>
    </row>
  </sheetData>
  <sheetProtection password="CCC8" sheet="1" objects="1" scenarios="1"/>
  <mergeCells count="1">
    <mergeCell ref="A1:Q1"/>
  </mergeCells>
  <phoneticPr fontId="82" type="noConversion"/>
  <pageMargins left="0.19" right="0.2" top="0.75" bottom="0.75" header="0.3" footer="0.3"/>
  <pageSetup scale="50" orientation="portrait"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0000FF"/>
  </sheetPr>
  <dimension ref="A1:Z275"/>
  <sheetViews>
    <sheetView workbookViewId="0">
      <pane ySplit="5" topLeftCell="A9" activePane="bottomLeft" state="frozenSplit"/>
      <selection pane="bottomLeft" activeCell="B31" sqref="B31"/>
    </sheetView>
  </sheetViews>
  <sheetFormatPr defaultRowHeight="12.75" x14ac:dyDescent="0.2"/>
  <cols>
    <col min="1" max="1" width="40.42578125" customWidth="1"/>
    <col min="2" max="2" width="11.85546875" customWidth="1"/>
    <col min="3" max="3" width="9.42578125" style="4" customWidth="1"/>
    <col min="4" max="4" width="10.28515625" customWidth="1"/>
    <col min="5" max="5" width="11.5703125" customWidth="1"/>
    <col min="6" max="6" width="14.85546875" customWidth="1"/>
    <col min="7" max="7" width="12.42578125" bestFit="1" customWidth="1"/>
    <col min="8" max="8" width="20.140625" customWidth="1"/>
    <col min="9" max="9" width="14.42578125" customWidth="1"/>
    <col min="10" max="10" width="12.42578125" bestFit="1" customWidth="1"/>
    <col min="11" max="11" width="12" customWidth="1"/>
    <col min="12" max="12" width="8.85546875" customWidth="1"/>
    <col min="13" max="13" width="7" customWidth="1"/>
    <col min="14" max="14" width="9.28515625" customWidth="1"/>
    <col min="16" max="16" width="7.140625" customWidth="1"/>
    <col min="17" max="17" width="11" customWidth="1"/>
    <col min="18" max="18" width="13.85546875" customWidth="1"/>
    <col min="19" max="19" width="5.42578125" customWidth="1"/>
    <col min="20" max="20" width="16.28515625" customWidth="1"/>
    <col min="22" max="22" width="9.7109375" customWidth="1"/>
    <col min="23" max="23" width="11.28515625" customWidth="1"/>
    <col min="24" max="24" width="5.85546875" customWidth="1"/>
    <col min="26" max="26" width="7.85546875" customWidth="1"/>
  </cols>
  <sheetData>
    <row r="1" spans="1:12" ht="30.75" customHeight="1" x14ac:dyDescent="0.4">
      <c r="A1" s="686" t="s">
        <v>172</v>
      </c>
      <c r="B1" s="686"/>
      <c r="C1" s="686"/>
      <c r="D1" s="686"/>
      <c r="E1" s="686"/>
      <c r="F1" s="686"/>
      <c r="G1" s="686"/>
      <c r="H1" s="686"/>
      <c r="I1" s="686"/>
    </row>
    <row r="2" spans="1:12" ht="12" customHeight="1" x14ac:dyDescent="0.2">
      <c r="A2" s="20"/>
      <c r="B2" s="20" t="s">
        <v>81</v>
      </c>
      <c r="C2" s="21"/>
      <c r="E2" s="20"/>
      <c r="F2" s="20"/>
      <c r="G2" s="20"/>
      <c r="H2" s="20"/>
      <c r="I2" s="20"/>
    </row>
    <row r="3" spans="1:12" ht="11.25" customHeight="1" x14ac:dyDescent="0.2">
      <c r="A3" s="20"/>
      <c r="B3" s="20" t="s">
        <v>100</v>
      </c>
      <c r="C3" s="22"/>
      <c r="E3" s="20"/>
      <c r="F3" s="20"/>
      <c r="G3" s="20"/>
      <c r="H3" s="20"/>
      <c r="I3" s="20"/>
    </row>
    <row r="4" spans="1:12" ht="11.25" customHeight="1" x14ac:dyDescent="0.2">
      <c r="A4" s="20"/>
      <c r="B4" s="20" t="s">
        <v>82</v>
      </c>
      <c r="C4" s="23"/>
      <c r="E4" s="20"/>
      <c r="F4" s="20"/>
      <c r="G4" s="20"/>
      <c r="H4" s="20"/>
      <c r="I4" s="20"/>
    </row>
    <row r="5" spans="1:12" x14ac:dyDescent="0.2">
      <c r="A5" s="4" t="s">
        <v>19</v>
      </c>
      <c r="B5" s="4" t="s">
        <v>6</v>
      </c>
      <c r="C5" s="4" t="s">
        <v>7</v>
      </c>
      <c r="E5" s="685" t="s">
        <v>9</v>
      </c>
      <c r="F5" s="685"/>
      <c r="G5" s="685"/>
      <c r="H5" s="685"/>
      <c r="I5" s="4" t="s">
        <v>174</v>
      </c>
    </row>
    <row r="6" spans="1:12" ht="16.5" thickBot="1" x14ac:dyDescent="0.3">
      <c r="A6" s="52" t="s">
        <v>61</v>
      </c>
      <c r="B6" s="41"/>
      <c r="C6" s="41"/>
      <c r="D6" s="41"/>
      <c r="E6" s="53"/>
      <c r="F6" s="53"/>
      <c r="G6" s="53"/>
      <c r="H6" s="53"/>
      <c r="I6" s="41"/>
    </row>
    <row r="7" spans="1:12" x14ac:dyDescent="0.2">
      <c r="A7" s="111" t="s">
        <v>145</v>
      </c>
      <c r="B7" s="10">
        <f>'Design Converter'!E6</f>
        <v>7</v>
      </c>
      <c r="C7" s="32" t="s">
        <v>0</v>
      </c>
      <c r="D7" s="81" t="s">
        <v>146</v>
      </c>
      <c r="E7" s="32"/>
      <c r="F7" s="32"/>
      <c r="G7" s="32"/>
      <c r="H7" s="32"/>
      <c r="I7" s="33">
        <v>1</v>
      </c>
    </row>
    <row r="8" spans="1:12" x14ac:dyDescent="0.2">
      <c r="A8" s="112" t="s">
        <v>143</v>
      </c>
      <c r="B8" s="11">
        <f>'Design Converter'!E7</f>
        <v>12</v>
      </c>
      <c r="C8" s="8" t="s">
        <v>0</v>
      </c>
      <c r="D8" s="8" t="s">
        <v>10</v>
      </c>
      <c r="F8" s="8"/>
      <c r="G8" s="8"/>
      <c r="H8" s="8"/>
      <c r="I8" s="26"/>
    </row>
    <row r="9" spans="1:12" x14ac:dyDescent="0.2">
      <c r="A9" s="112" t="s">
        <v>144</v>
      </c>
      <c r="B9" s="11">
        <f>'Design Converter'!E8</f>
        <v>24</v>
      </c>
      <c r="C9" s="8" t="s">
        <v>0</v>
      </c>
      <c r="D9" s="79" t="s">
        <v>147</v>
      </c>
      <c r="F9" s="8"/>
      <c r="G9" s="8"/>
      <c r="H9" s="8"/>
      <c r="I9" s="26"/>
    </row>
    <row r="10" spans="1:12" x14ac:dyDescent="0.2">
      <c r="A10" s="112"/>
      <c r="B10" s="213"/>
      <c r="C10" s="62"/>
      <c r="D10" s="79"/>
      <c r="F10" s="8"/>
      <c r="G10" s="8"/>
      <c r="H10" s="8"/>
      <c r="I10" s="26"/>
    </row>
    <row r="11" spans="1:12" x14ac:dyDescent="0.2">
      <c r="A11" s="25" t="s">
        <v>4</v>
      </c>
      <c r="B11" s="11">
        <f>'Design Converter'!E10</f>
        <v>15</v>
      </c>
      <c r="C11" s="8" t="s">
        <v>0</v>
      </c>
      <c r="D11" s="79" t="s">
        <v>587</v>
      </c>
      <c r="F11" s="8"/>
      <c r="G11" s="8">
        <f>(Vout+Vfwd1)*Nps</f>
        <v>15.25</v>
      </c>
      <c r="H11" s="8"/>
      <c r="I11" s="26">
        <v>1</v>
      </c>
      <c r="K11" t="str">
        <f>'Variable Mgmt'!B51&amp;" Output PSR Flyback Converter, "&amp;"VIN = "&amp;Vin&amp;" V, VOUT = "&amp;Vout&amp;" V, IOUT = "&amp;Iout&amp;" A"</f>
        <v>SINGLE Output PSR Flyback Converter, VIN = 12 V, VOUT = 15 V, IOUT = 0.3 A</v>
      </c>
    </row>
    <row r="12" spans="1:12" x14ac:dyDescent="0.2">
      <c r="A12" s="25" t="s">
        <v>5</v>
      </c>
      <c r="B12" s="595">
        <f>'Design Converter'!E11</f>
        <v>0.3</v>
      </c>
      <c r="C12" s="79" t="s">
        <v>1</v>
      </c>
      <c r="D12" s="79" t="s">
        <v>679</v>
      </c>
      <c r="F12" s="8"/>
      <c r="G12" s="8"/>
      <c r="H12" s="8"/>
      <c r="I12" s="26">
        <v>1</v>
      </c>
      <c r="K12" t="str">
        <f>'Variable Mgmt'!B51&amp;" Output PSR Flyback Converter, "&amp;"VIN = "&amp;Vin&amp;" V, VOUT1 = "&amp;Vout&amp;" V, IOUT1 = "&amp;Iout&amp;" A"&amp;", VOUT2 = "&amp;Vout2_actual&amp;" V, IOUT2 = "&amp;Iout2_actual&amp;" A"</f>
        <v>SINGLE Output PSR Flyback Converter, VIN = 12 V, VOUT1 = 15 V, IOUT1 = 0.3 A, VOUT2 = -8 V, IOUT2 = -0.3 A</v>
      </c>
      <c r="L12" s="78"/>
    </row>
    <row r="13" spans="1:12" x14ac:dyDescent="0.2">
      <c r="A13" s="112" t="s">
        <v>169</v>
      </c>
      <c r="B13" s="161">
        <f>Vout/Iout</f>
        <v>50</v>
      </c>
      <c r="C13" s="115" t="s">
        <v>45</v>
      </c>
      <c r="D13" s="113" t="s">
        <v>170</v>
      </c>
      <c r="F13" s="8"/>
      <c r="G13" s="8"/>
      <c r="H13" s="8"/>
      <c r="I13" s="26"/>
    </row>
    <row r="14" spans="1:12" x14ac:dyDescent="0.2">
      <c r="A14" s="112" t="s">
        <v>153</v>
      </c>
      <c r="B14" s="594">
        <f>Vout*Iout</f>
        <v>4.5</v>
      </c>
      <c r="C14" s="62" t="s">
        <v>45</v>
      </c>
      <c r="D14" s="113" t="s">
        <v>159</v>
      </c>
      <c r="F14" s="8"/>
      <c r="G14" s="8"/>
      <c r="H14" s="8"/>
      <c r="I14" s="26"/>
      <c r="L14" s="78"/>
    </row>
    <row r="15" spans="1:12" x14ac:dyDescent="0.2">
      <c r="B15" s="380"/>
      <c r="C15" s="62"/>
      <c r="D15" s="113"/>
      <c r="F15" s="8"/>
      <c r="G15" s="8"/>
      <c r="H15" s="8"/>
      <c r="I15" s="26"/>
      <c r="L15" s="78"/>
    </row>
    <row r="16" spans="1:12" x14ac:dyDescent="0.2">
      <c r="A16" s="112" t="s">
        <v>633</v>
      </c>
      <c r="B16" s="596">
        <f>ABS('Design Converter'!E12)</f>
        <v>8</v>
      </c>
      <c r="C16" s="8" t="s">
        <v>0</v>
      </c>
      <c r="D16" s="79" t="s">
        <v>589</v>
      </c>
      <c r="F16" s="8"/>
      <c r="G16" s="8"/>
      <c r="H16" s="8"/>
      <c r="I16" s="26"/>
      <c r="L16" s="78"/>
    </row>
    <row r="17" spans="1:23" x14ac:dyDescent="0.2">
      <c r="A17" s="112" t="s">
        <v>634</v>
      </c>
      <c r="B17" s="639">
        <f>'Design Converter'!E12</f>
        <v>-8</v>
      </c>
      <c r="C17" s="62" t="s">
        <v>0</v>
      </c>
      <c r="D17" s="79"/>
      <c r="F17" s="8"/>
      <c r="G17" s="8"/>
      <c r="H17" s="8"/>
      <c r="I17" s="26"/>
      <c r="L17" s="78"/>
    </row>
    <row r="18" spans="1:23" x14ac:dyDescent="0.2">
      <c r="A18" s="112" t="s">
        <v>514</v>
      </c>
      <c r="B18" s="596">
        <f>ABS('Design Converter'!E13)</f>
        <v>0.3</v>
      </c>
      <c r="C18" s="79" t="s">
        <v>1</v>
      </c>
      <c r="D18" s="79" t="s">
        <v>588</v>
      </c>
      <c r="F18" s="8"/>
      <c r="G18" s="8"/>
      <c r="H18" s="8"/>
      <c r="I18" s="26"/>
      <c r="L18" s="78"/>
    </row>
    <row r="19" spans="1:23" x14ac:dyDescent="0.2">
      <c r="A19" s="113" t="s">
        <v>678</v>
      </c>
      <c r="B19">
        <f>Iout2*SIGN(Vout2_actual)</f>
        <v>-0.3</v>
      </c>
      <c r="C19" s="78" t="s">
        <v>1</v>
      </c>
      <c r="F19" s="8"/>
      <c r="G19" s="8"/>
      <c r="H19" s="8"/>
      <c r="I19" s="26"/>
      <c r="L19" s="78"/>
    </row>
    <row r="20" spans="1:23" x14ac:dyDescent="0.2">
      <c r="A20" s="112" t="s">
        <v>515</v>
      </c>
      <c r="B20" s="594">
        <f>ABS(Vout2/Iout2)</f>
        <v>26.666666666666668</v>
      </c>
      <c r="C20" s="115" t="s">
        <v>45</v>
      </c>
      <c r="D20" s="113" t="s">
        <v>517</v>
      </c>
      <c r="F20" s="8"/>
      <c r="G20" s="8"/>
      <c r="H20" s="8"/>
      <c r="I20" s="26"/>
      <c r="K20" s="78" t="s">
        <v>553</v>
      </c>
      <c r="L20" s="78" t="s">
        <v>554</v>
      </c>
    </row>
    <row r="21" spans="1:23" x14ac:dyDescent="0.2">
      <c r="A21" s="112" t="s">
        <v>516</v>
      </c>
      <c r="B21" s="594">
        <f>ABS(Vout2*Iout2)</f>
        <v>2.4</v>
      </c>
      <c r="C21" s="62" t="s">
        <v>45</v>
      </c>
      <c r="D21" s="113" t="s">
        <v>518</v>
      </c>
      <c r="F21" s="8"/>
      <c r="G21" s="8"/>
      <c r="H21" s="8"/>
      <c r="I21" s="26"/>
      <c r="K21">
        <v>5</v>
      </c>
      <c r="L21" s="78">
        <v>-5</v>
      </c>
    </row>
    <row r="22" spans="1:23" x14ac:dyDescent="0.2">
      <c r="A22" s="112" t="s">
        <v>519</v>
      </c>
      <c r="B22" s="594">
        <f>CHOOSE(MODE, Pout, Pout + Pout2)</f>
        <v>4.5</v>
      </c>
      <c r="C22" s="62" t="s">
        <v>45</v>
      </c>
      <c r="D22" s="113" t="s">
        <v>520</v>
      </c>
      <c r="F22" s="8"/>
      <c r="G22" s="8"/>
      <c r="H22" s="8"/>
      <c r="I22" s="26"/>
      <c r="K22">
        <v>0.2</v>
      </c>
      <c r="L22" s="78">
        <v>0.2</v>
      </c>
    </row>
    <row r="23" spans="1:23" x14ac:dyDescent="0.2">
      <c r="A23" s="112"/>
      <c r="B23" s="380"/>
      <c r="C23" s="62"/>
      <c r="D23" s="113"/>
      <c r="F23" s="8"/>
      <c r="G23" s="8"/>
      <c r="H23" s="8"/>
      <c r="I23" s="26"/>
      <c r="L23" s="78"/>
    </row>
    <row r="24" spans="1:23" x14ac:dyDescent="0.2">
      <c r="A24" s="35" t="str">
        <f>CHOOSE(MODE, "Turns Ratio, PRI : SEC", "Turns Ratio, PRI : SEC1")</f>
        <v>Turns Ratio, PRI : SEC</v>
      </c>
      <c r="B24" s="577" t="str">
        <f>Nps</f>
        <v>1</v>
      </c>
      <c r="C24" s="62"/>
      <c r="D24" s="113" t="str">
        <f>CHOOSE(MODE, "TR primary-secondary (single output) = Np/Ns", "TR primary-secondary1 (dual output) = Np/Nsec1")</f>
        <v>TR primary-secondary (single output) = Np/Ns</v>
      </c>
      <c r="F24" s="8"/>
      <c r="G24" s="8"/>
      <c r="H24" s="8"/>
      <c r="I24" s="26"/>
      <c r="L24" s="78"/>
    </row>
    <row r="25" spans="1:23" x14ac:dyDescent="0.2">
      <c r="A25" s="35" t="s">
        <v>601</v>
      </c>
      <c r="B25" s="181">
        <f>Npri_sec2</f>
        <v>1.8484848484848484</v>
      </c>
      <c r="D25" s="113" t="s">
        <v>602</v>
      </c>
      <c r="F25" s="8"/>
      <c r="G25" s="8"/>
      <c r="H25" s="8"/>
      <c r="I25" s="26"/>
      <c r="L25" s="78"/>
    </row>
    <row r="26" spans="1:23" x14ac:dyDescent="0.2">
      <c r="A26" s="35" t="s">
        <v>614</v>
      </c>
      <c r="B26" s="638">
        <f>Nsec1sec2</f>
        <v>0.54098360655737709</v>
      </c>
      <c r="D26" s="78" t="s">
        <v>603</v>
      </c>
      <c r="F26" s="8"/>
      <c r="G26" s="8"/>
      <c r="H26" s="8"/>
      <c r="I26" s="26"/>
      <c r="L26" s="78"/>
      <c r="R26" s="165" t="s">
        <v>402</v>
      </c>
      <c r="V26" s="165" t="s">
        <v>402</v>
      </c>
    </row>
    <row r="27" spans="1:23" x14ac:dyDescent="0.2">
      <c r="H27" s="8"/>
      <c r="I27" s="26"/>
      <c r="K27" s="165" t="s">
        <v>552</v>
      </c>
      <c r="R27" s="165" t="s">
        <v>596</v>
      </c>
      <c r="V27" s="165" t="s">
        <v>597</v>
      </c>
    </row>
    <row r="28" spans="1:23" x14ac:dyDescent="0.2">
      <c r="A28" s="78" t="s">
        <v>635</v>
      </c>
      <c r="B28" s="6">
        <f>Vout+VIN_max/Nps</f>
        <v>39</v>
      </c>
      <c r="C28" s="78" t="s">
        <v>0</v>
      </c>
      <c r="G28" s="8"/>
      <c r="H28" s="8"/>
      <c r="I28" s="26"/>
      <c r="K28" s="78" t="s">
        <v>549</v>
      </c>
      <c r="L28">
        <v>1</v>
      </c>
      <c r="R28" t="str">
        <f>"5 : 1"</f>
        <v>5 : 1</v>
      </c>
      <c r="S28">
        <v>1</v>
      </c>
      <c r="V28" t="str">
        <f>CHOOSE(MODE, "Functional", "5 : 1")</f>
        <v>Functional</v>
      </c>
      <c r="W28">
        <v>1</v>
      </c>
    </row>
    <row r="29" spans="1:23" x14ac:dyDescent="0.2">
      <c r="F29" s="8"/>
      <c r="G29" s="8"/>
      <c r="H29" s="8"/>
      <c r="I29" s="26"/>
      <c r="K29" s="78" t="s">
        <v>550</v>
      </c>
      <c r="L29">
        <v>2</v>
      </c>
      <c r="R29" t="str">
        <f>"4 : 1"</f>
        <v>4 : 1</v>
      </c>
      <c r="S29">
        <v>2</v>
      </c>
      <c r="V29" t="str">
        <f>CHOOSE(MODE, "Basic", "4 : 1")</f>
        <v>Basic</v>
      </c>
      <c r="W29">
        <v>2</v>
      </c>
    </row>
    <row r="30" spans="1:23" x14ac:dyDescent="0.2">
      <c r="A30" s="112" t="s">
        <v>449</v>
      </c>
      <c r="B30" s="379">
        <f>1%*Vout*1000</f>
        <v>150</v>
      </c>
      <c r="C30" s="62" t="s">
        <v>149</v>
      </c>
      <c r="D30" s="113" t="s">
        <v>467</v>
      </c>
      <c r="F30" s="8"/>
      <c r="G30" s="8"/>
      <c r="H30" s="8"/>
      <c r="I30" s="26"/>
      <c r="K30" s="78" t="s">
        <v>551</v>
      </c>
      <c r="L30">
        <v>3</v>
      </c>
      <c r="R30" t="str">
        <f>"3 : 1"</f>
        <v>3 : 1</v>
      </c>
      <c r="S30">
        <v>3</v>
      </c>
      <c r="V30" t="str">
        <f>CHOOSE(MODE, "Reinforced", "3 : 1")</f>
        <v>Reinforced</v>
      </c>
      <c r="W30">
        <v>3</v>
      </c>
    </row>
    <row r="31" spans="1:23" x14ac:dyDescent="0.2">
      <c r="A31" s="112" t="s">
        <v>571</v>
      </c>
      <c r="B31" s="379">
        <f>1%*Vout2*1000</f>
        <v>80</v>
      </c>
      <c r="C31" s="62" t="s">
        <v>149</v>
      </c>
      <c r="D31" s="113" t="s">
        <v>570</v>
      </c>
      <c r="F31" s="8"/>
      <c r="G31" s="8"/>
      <c r="H31" s="8"/>
      <c r="I31" s="26"/>
      <c r="Q31" s="537"/>
      <c r="R31" t="str">
        <f>"2 : 1"</f>
        <v>2 : 1</v>
      </c>
      <c r="S31">
        <v>4</v>
      </c>
      <c r="V31" t="str">
        <f>CHOOSE(MODE, "", "2 : 1")</f>
        <v/>
      </c>
      <c r="W31">
        <v>4</v>
      </c>
    </row>
    <row r="32" spans="1:23" x14ac:dyDescent="0.2">
      <c r="F32" s="8"/>
      <c r="G32" s="8"/>
      <c r="H32" s="8"/>
      <c r="I32" s="26"/>
      <c r="R32" t="str">
        <f>"1.5 : 1"</f>
        <v>1.5 : 1</v>
      </c>
      <c r="S32">
        <v>5</v>
      </c>
      <c r="V32" t="str">
        <f>CHOOSE(MODE, "", "1 : 1")</f>
        <v/>
      </c>
      <c r="W32">
        <v>5</v>
      </c>
    </row>
    <row r="33" spans="1:23" x14ac:dyDescent="0.2">
      <c r="A33" s="112" t="s">
        <v>47</v>
      </c>
      <c r="B33" s="640">
        <v>0.9</v>
      </c>
      <c r="C33" s="62"/>
      <c r="D33" s="79" t="s">
        <v>176</v>
      </c>
      <c r="F33" s="8"/>
      <c r="G33" s="8"/>
      <c r="H33" s="8"/>
      <c r="I33" s="26"/>
      <c r="R33" t="str">
        <f>"1 : 1"</f>
        <v>1 : 1</v>
      </c>
      <c r="S33">
        <v>6</v>
      </c>
      <c r="V33" t="str">
        <f>CHOOSE(MODE, "", "1 : 2")</f>
        <v/>
      </c>
      <c r="W33">
        <v>6</v>
      </c>
    </row>
    <row r="34" spans="1:23" x14ac:dyDescent="0.2">
      <c r="A34" s="112" t="s">
        <v>157</v>
      </c>
      <c r="B34" s="429">
        <f>Pout/Efficiency</f>
        <v>5</v>
      </c>
      <c r="C34" s="62" t="s">
        <v>45</v>
      </c>
      <c r="D34" s="113" t="s">
        <v>468</v>
      </c>
      <c r="F34" s="8"/>
      <c r="G34" s="8"/>
      <c r="H34" s="8"/>
      <c r="I34" s="26"/>
      <c r="R34" t="str">
        <f>"1 : 1.5"</f>
        <v>1 : 1.5</v>
      </c>
      <c r="S34">
        <v>7</v>
      </c>
      <c r="V34" t="str">
        <f>CHOOSE(MODE, "", "1 : 3")</f>
        <v/>
      </c>
      <c r="W34">
        <v>7</v>
      </c>
    </row>
    <row r="35" spans="1:23" x14ac:dyDescent="0.2">
      <c r="A35" s="112" t="s">
        <v>154</v>
      </c>
      <c r="B35" s="170">
        <f>Pin/VIN_min</f>
        <v>0.7142857142857143</v>
      </c>
      <c r="C35" s="62" t="s">
        <v>1</v>
      </c>
      <c r="D35" s="79"/>
      <c r="F35" s="8"/>
      <c r="G35" s="8"/>
      <c r="H35" s="8"/>
      <c r="I35" s="26"/>
      <c r="R35" t="str">
        <f>"1 : 2"</f>
        <v>1 : 2</v>
      </c>
      <c r="S35">
        <v>8</v>
      </c>
      <c r="V35" t="str">
        <f>CHOOSE(MODE, "", "1 : 4")</f>
        <v/>
      </c>
      <c r="W35">
        <v>8</v>
      </c>
    </row>
    <row r="36" spans="1:23" x14ac:dyDescent="0.2">
      <c r="A36" s="112" t="s">
        <v>155</v>
      </c>
      <c r="B36" s="170">
        <f>Pin/VIN_nom</f>
        <v>0.41666666666666669</v>
      </c>
      <c r="C36" s="62" t="s">
        <v>1</v>
      </c>
      <c r="D36" s="113" t="s">
        <v>160</v>
      </c>
      <c r="F36" s="8"/>
      <c r="G36" s="8"/>
      <c r="H36" s="8"/>
      <c r="I36" s="26">
        <v>1</v>
      </c>
      <c r="K36" s="78"/>
      <c r="R36" t="str">
        <f>"1 : 3"</f>
        <v>1 : 3</v>
      </c>
      <c r="S36">
        <v>9</v>
      </c>
      <c r="V36" t="str">
        <f>CHOOSE(MODE, "", "1 : 5")</f>
        <v/>
      </c>
      <c r="W36">
        <v>9</v>
      </c>
    </row>
    <row r="37" spans="1:23" x14ac:dyDescent="0.2">
      <c r="A37" s="112" t="s">
        <v>156</v>
      </c>
      <c r="B37" s="170">
        <f>Pin/VIN_max</f>
        <v>0.20833333333333334</v>
      </c>
      <c r="C37" s="62" t="s">
        <v>1</v>
      </c>
      <c r="D37" s="79"/>
      <c r="F37" s="8"/>
      <c r="G37" s="8"/>
      <c r="H37" s="8"/>
      <c r="I37" s="26"/>
      <c r="R37" t="str">
        <f>"1 : 4"</f>
        <v>1 : 4</v>
      </c>
      <c r="S37">
        <v>10</v>
      </c>
    </row>
    <row r="38" spans="1:23" x14ac:dyDescent="0.2">
      <c r="A38" s="112" t="s">
        <v>632</v>
      </c>
      <c r="B38" s="538">
        <f>CHOOSE(MODE, 'Calculations - Single'!N110, 'Calculations - Dual'!O110+'Calculations - Dual'!P110)</f>
        <v>3.1305337078651685</v>
      </c>
      <c r="C38" s="113" t="s">
        <v>45</v>
      </c>
      <c r="D38" s="79" t="b">
        <f>B38&lt;Pout_total</f>
        <v>1</v>
      </c>
      <c r="F38" s="8"/>
      <c r="G38" s="8"/>
      <c r="H38" s="8"/>
      <c r="I38" s="26"/>
      <c r="Q38" s="584" t="s">
        <v>401</v>
      </c>
      <c r="R38" s="472" t="str">
        <f>CHOOSE(Turns_Ratio, "5 : 1", "4 : 1", "3 : 1", "2 : 1", "1.5 : 1", "1 : 1", "1 : 1.5", "1 : 2", "1 : 3", "1 : 4")</f>
        <v>1 : 1</v>
      </c>
      <c r="S38" s="4">
        <v>6</v>
      </c>
      <c r="U38" s="584" t="s">
        <v>595</v>
      </c>
      <c r="V38" s="458" t="str">
        <f>CHOOSE(Turns_Ratio2, "5 : 1", "4 : 1", "3 : 1", "2 : 1", "1 : 1", "1 : 2", "1 : 3", "1 : 4", "1 : 5")</f>
        <v>1 : 5</v>
      </c>
      <c r="W38" s="4">
        <v>9</v>
      </c>
    </row>
    <row r="39" spans="1:23" x14ac:dyDescent="0.2">
      <c r="A39" s="112" t="s">
        <v>441</v>
      </c>
      <c r="B39" s="135">
        <v>350000</v>
      </c>
      <c r="C39" s="113" t="s">
        <v>8</v>
      </c>
      <c r="D39" s="79" t="s">
        <v>590</v>
      </c>
      <c r="F39" s="8"/>
      <c r="G39" s="8"/>
      <c r="H39" s="8"/>
      <c r="I39" s="26"/>
    </row>
    <row r="40" spans="1:23" x14ac:dyDescent="0.2">
      <c r="A40" s="27" t="s">
        <v>18</v>
      </c>
      <c r="B40" s="28">
        <v>1.21</v>
      </c>
      <c r="C40" s="8" t="s">
        <v>0</v>
      </c>
      <c r="D40" s="79" t="s">
        <v>591</v>
      </c>
      <c r="F40" s="8"/>
      <c r="G40" s="8"/>
      <c r="H40" s="8"/>
      <c r="I40" s="26"/>
      <c r="Q40" s="78" t="s">
        <v>460</v>
      </c>
      <c r="R40" s="472" t="str">
        <f>CHOOSE(Turns_Ratio, "5", "4 ", "3", "2", "1.5", "1", "0.66", "0.5", "0.33", "0.25")</f>
        <v>1</v>
      </c>
    </row>
    <row r="41" spans="1:23" x14ac:dyDescent="0.2">
      <c r="A41" s="112" t="s">
        <v>399</v>
      </c>
      <c r="B41" s="171">
        <f>'Design Converter'!E27*1000</f>
        <v>457500</v>
      </c>
      <c r="C41" s="115" t="s">
        <v>45</v>
      </c>
      <c r="D41" s="113" t="s">
        <v>592</v>
      </c>
      <c r="F41" s="8"/>
      <c r="G41" s="8"/>
      <c r="H41" s="8"/>
      <c r="I41" s="26"/>
      <c r="Q41" s="78" t="s">
        <v>509</v>
      </c>
      <c r="R41" s="472" t="str">
        <f>CHOOSE(Turns_Ratio, "5", "4 ", "3", "2", "1.5", "1", "0.66", "0.5", "0.33", "0.25")</f>
        <v>1</v>
      </c>
      <c r="V41" s="78" t="s">
        <v>599</v>
      </c>
      <c r="W41" s="165" t="str">
        <f>CHOOSE(Turns_Ratio, "1", "1", "1", "1", "1", "1", "1.5", "2", "3", "4")</f>
        <v>1</v>
      </c>
    </row>
    <row r="42" spans="1:23" x14ac:dyDescent="0.2">
      <c r="A42" s="112"/>
      <c r="B42" s="379"/>
      <c r="C42" s="115"/>
      <c r="D42" s="62"/>
      <c r="F42" s="8"/>
      <c r="G42" s="8"/>
      <c r="H42" s="8"/>
      <c r="I42" s="26"/>
      <c r="K42" s="78" t="s">
        <v>403</v>
      </c>
      <c r="Q42" s="78" t="s">
        <v>598</v>
      </c>
      <c r="R42" s="652">
        <f>ABS((Vout2+Vfwd1)/(Vout+Vfwd1))</f>
        <v>0.54098360655737709</v>
      </c>
      <c r="V42" s="78" t="s">
        <v>598</v>
      </c>
      <c r="W42" s="637">
        <f>Nsec1sec2</f>
        <v>0.54098360655737709</v>
      </c>
    </row>
    <row r="43" spans="1:23" ht="15.75" x14ac:dyDescent="0.3">
      <c r="A43" s="112" t="s">
        <v>400</v>
      </c>
      <c r="B43" s="538">
        <v>0.1</v>
      </c>
      <c r="C43" s="79" t="s">
        <v>45</v>
      </c>
      <c r="D43" s="113" t="s">
        <v>593</v>
      </c>
      <c r="F43" s="620" t="s">
        <v>594</v>
      </c>
      <c r="G43" s="8"/>
      <c r="H43" s="8"/>
      <c r="I43" s="26"/>
      <c r="Q43" s="488" t="s">
        <v>510</v>
      </c>
      <c r="R43" s="635">
        <f>Nps/Nsec1sec2</f>
        <v>1.8484848484848484</v>
      </c>
      <c r="V43" s="4"/>
      <c r="W43" s="636">
        <f>W41*W42</f>
        <v>0.54098360655737709</v>
      </c>
    </row>
    <row r="44" spans="1:23" ht="13.5" thickBot="1" x14ac:dyDescent="0.25">
      <c r="A44" s="29"/>
      <c r="B44" s="30"/>
      <c r="C44" s="82"/>
      <c r="D44" s="30"/>
      <c r="E44" s="30"/>
      <c r="F44" s="30"/>
      <c r="G44" s="30"/>
      <c r="H44" s="30"/>
      <c r="I44" s="31"/>
      <c r="K44" s="454" t="str">
        <f>"SCH_"&amp;B51&amp;"_"&amp;F56&amp;"_"&amp;I56&amp;"_"&amp;F50</f>
        <v>SCH_SINGLE_UVLOadj_SSint_TCno</v>
      </c>
      <c r="R44" s="376">
        <f>ROUND(Nsec1sec2,1)</f>
        <v>0.5</v>
      </c>
      <c r="V44" s="165" t="s">
        <v>600</v>
      </c>
      <c r="W44" s="626" t="str">
        <f>CHOOSE(MODE, R38, R38&amp;" : "&amp;ROUND(W43,2))</f>
        <v>1 : 1</v>
      </c>
    </row>
    <row r="45" spans="1:23" x14ac:dyDescent="0.2">
      <c r="A45" s="8"/>
      <c r="B45" s="8"/>
      <c r="C45" s="41"/>
      <c r="D45" s="8"/>
      <c r="E45" s="8"/>
      <c r="F45" s="8"/>
      <c r="G45" s="8"/>
      <c r="H45" s="8"/>
      <c r="I45" s="8"/>
    </row>
    <row r="46" spans="1:23" ht="16.5" thickBot="1" x14ac:dyDescent="0.3">
      <c r="A46" s="52" t="s">
        <v>581</v>
      </c>
      <c r="B46" s="8"/>
      <c r="C46" s="41"/>
      <c r="D46" s="8"/>
      <c r="E46" s="8"/>
      <c r="F46" s="8"/>
      <c r="G46" s="8"/>
      <c r="H46" s="8"/>
      <c r="I46" s="8"/>
    </row>
    <row r="47" spans="1:23" ht="15.75" x14ac:dyDescent="0.25">
      <c r="A47" s="389"/>
      <c r="B47" s="390"/>
      <c r="C47" s="391"/>
      <c r="D47" s="390"/>
      <c r="E47" s="390"/>
      <c r="F47" s="390"/>
      <c r="G47" s="390"/>
      <c r="H47" s="390"/>
      <c r="I47" s="446"/>
      <c r="J47" s="446"/>
      <c r="K47" s="446"/>
      <c r="L47" s="446"/>
      <c r="M47" s="446"/>
      <c r="N47" s="446"/>
      <c r="O47" s="25"/>
    </row>
    <row r="48" spans="1:23" x14ac:dyDescent="0.2">
      <c r="A48" s="386" t="s">
        <v>367</v>
      </c>
      <c r="B48" s="79" t="s">
        <v>368</v>
      </c>
      <c r="C48" s="447">
        <v>1</v>
      </c>
      <c r="D48" s="8"/>
      <c r="E48" s="386" t="s">
        <v>387</v>
      </c>
      <c r="F48" s="79" t="s">
        <v>371</v>
      </c>
      <c r="G48" s="168" t="b">
        <v>1</v>
      </c>
      <c r="I48" s="162" t="s">
        <v>303</v>
      </c>
      <c r="J48" s="168">
        <v>1</v>
      </c>
      <c r="K48" t="str">
        <f>B51&amp;", "&amp;F50&amp;", "&amp;I50&amp;", "&amp;F56&amp;", "&amp;I56</f>
        <v>SINGLE, TCno, IlimRes, UVLOadj, SSint</v>
      </c>
      <c r="O48" s="25"/>
      <c r="Q48" s="404" t="s">
        <v>337</v>
      </c>
      <c r="R48" s="4" t="s">
        <v>332</v>
      </c>
      <c r="S48" s="376">
        <v>1</v>
      </c>
    </row>
    <row r="49" spans="1:26" x14ac:dyDescent="0.2">
      <c r="A49" s="385"/>
      <c r="B49" s="79" t="s">
        <v>369</v>
      </c>
      <c r="C49" s="447">
        <v>2</v>
      </c>
      <c r="D49" s="8"/>
      <c r="E49" s="38"/>
      <c r="F49" s="79" t="s">
        <v>372</v>
      </c>
      <c r="G49" s="168" t="b">
        <v>0</v>
      </c>
      <c r="I49" s="162" t="s">
        <v>304</v>
      </c>
      <c r="J49" s="168">
        <v>2</v>
      </c>
      <c r="K49" t="str">
        <f>C51&amp;", "&amp;G50&amp;", "&amp;J50&amp;", "&amp;G56&amp;", "&amp;J56</f>
        <v>1, 2, 2, 1, 2</v>
      </c>
      <c r="O49" s="25"/>
      <c r="Q49" s="404" t="s">
        <v>339</v>
      </c>
      <c r="R49" s="4" t="s">
        <v>333</v>
      </c>
      <c r="S49" s="376">
        <v>2</v>
      </c>
    </row>
    <row r="50" spans="1:26" x14ac:dyDescent="0.2">
      <c r="B50" s="78" t="s">
        <v>523</v>
      </c>
      <c r="C50" s="599">
        <v>3</v>
      </c>
      <c r="D50" s="8"/>
      <c r="E50" s="453" t="s">
        <v>388</v>
      </c>
      <c r="F50" s="388" t="str">
        <f>CHOOSE(G50, "TCyes", "TCno")</f>
        <v>TCno</v>
      </c>
      <c r="G50" s="383">
        <v>2</v>
      </c>
      <c r="H50" s="453" t="s">
        <v>302</v>
      </c>
      <c r="I50" s="449" t="str">
        <f>CHOOSE(J50, "IlimGND", "IlimRes")</f>
        <v>IlimRes</v>
      </c>
      <c r="J50" s="383">
        <f>IF(C56=4, 1, 2)</f>
        <v>2</v>
      </c>
      <c r="K50" t="str">
        <f>C51&amp;G50&amp;J50&amp;G56&amp;J56</f>
        <v>12212</v>
      </c>
      <c r="O50" s="25"/>
      <c r="Q50" s="404" t="s">
        <v>340</v>
      </c>
      <c r="R50" s="4" t="s">
        <v>334</v>
      </c>
      <c r="S50" s="376">
        <v>3</v>
      </c>
    </row>
    <row r="51" spans="1:26" x14ac:dyDescent="0.2">
      <c r="A51" s="450" t="s">
        <v>287</v>
      </c>
      <c r="B51" s="448" t="str">
        <f>CHOOSE(C51,"SINGLE", IF(Vout2_actual&gt;0, "DUAL", "BIPOLAR"))</f>
        <v>SINGLE</v>
      </c>
      <c r="C51" s="387">
        <v>1</v>
      </c>
      <c r="D51" s="8"/>
      <c r="E51" s="8"/>
      <c r="G51" s="80">
        <f>TC</f>
        <v>2</v>
      </c>
      <c r="I51" s="383"/>
      <c r="J51" s="8"/>
      <c r="O51" s="25"/>
      <c r="Q51" s="404" t="s">
        <v>338</v>
      </c>
      <c r="R51" s="4" t="s">
        <v>335</v>
      </c>
      <c r="S51" s="376">
        <v>4</v>
      </c>
    </row>
    <row r="52" spans="1:26" x14ac:dyDescent="0.2">
      <c r="A52" s="385"/>
      <c r="B52" s="4" t="b">
        <f>CHOOSE(C51, TRUE, FALSE)</f>
        <v>1</v>
      </c>
      <c r="C52" s="80" t="str">
        <f>CHOOSE(C51,"1", IF(Vout2&gt;0, "2", "3"))</f>
        <v>1</v>
      </c>
      <c r="O52" s="25"/>
      <c r="Q52" s="404" t="s">
        <v>342</v>
      </c>
      <c r="R52" s="4" t="s">
        <v>341</v>
      </c>
      <c r="S52" s="376">
        <v>5</v>
      </c>
    </row>
    <row r="53" spans="1:26" x14ac:dyDescent="0.2">
      <c r="O53" s="25"/>
      <c r="Q53" s="452" t="s">
        <v>336</v>
      </c>
      <c r="R53" s="458" t="str">
        <f>CHOOSE(S53,"6.3V","10V","16V","25V","50V")</f>
        <v>25V</v>
      </c>
      <c r="S53" s="472">
        <f>IF(Vout&lt;=5, 1, IF(Vout&lt;=8, 2, IF(Vout&lt;=12, 3, IF(Vout&lt;=20, 4, 5))))</f>
        <v>4</v>
      </c>
    </row>
    <row r="54" spans="1:26" x14ac:dyDescent="0.2">
      <c r="A54" s="392" t="s">
        <v>189</v>
      </c>
      <c r="B54" s="113" t="s">
        <v>371</v>
      </c>
      <c r="C54" s="447">
        <v>1</v>
      </c>
      <c r="D54" s="8"/>
      <c r="E54" s="165" t="s">
        <v>322</v>
      </c>
      <c r="F54" s="488" t="s">
        <v>558</v>
      </c>
      <c r="G54" s="168">
        <v>1</v>
      </c>
      <c r="H54" s="386" t="s">
        <v>298</v>
      </c>
      <c r="I54" s="79" t="s">
        <v>558</v>
      </c>
      <c r="J54" s="168">
        <v>1</v>
      </c>
      <c r="L54" s="162" t="s">
        <v>320</v>
      </c>
      <c r="M54" s="168">
        <v>1</v>
      </c>
      <c r="O54" s="25"/>
    </row>
    <row r="55" spans="1:26" x14ac:dyDescent="0.2">
      <c r="A55" s="393"/>
      <c r="B55" s="113" t="s">
        <v>372</v>
      </c>
      <c r="C55" s="447">
        <v>2</v>
      </c>
      <c r="D55" s="8"/>
      <c r="F55" s="488" t="s">
        <v>559</v>
      </c>
      <c r="G55" s="168">
        <v>2</v>
      </c>
      <c r="H55" s="38"/>
      <c r="I55" s="79" t="s">
        <v>680</v>
      </c>
      <c r="J55" s="168">
        <v>2</v>
      </c>
      <c r="L55" s="162" t="s">
        <v>321</v>
      </c>
      <c r="M55" s="168">
        <v>2</v>
      </c>
      <c r="O55" s="25"/>
      <c r="R55" s="4" t="s">
        <v>660</v>
      </c>
      <c r="S55" s="4"/>
      <c r="T55" s="4" t="s">
        <v>116</v>
      </c>
      <c r="U55" s="4" t="s">
        <v>661</v>
      </c>
    </row>
    <row r="56" spans="1:26" x14ac:dyDescent="0.2">
      <c r="A56" s="451" t="s">
        <v>288</v>
      </c>
      <c r="B56" s="448" t="str">
        <f>CHOOSE(C56, "YES", "NO")</f>
        <v>YES</v>
      </c>
      <c r="C56" s="387">
        <v>1</v>
      </c>
      <c r="D56" s="8"/>
      <c r="E56" s="452" t="s">
        <v>308</v>
      </c>
      <c r="F56" s="449" t="str">
        <f>CHOOSE(G56, "UVLOadj", "UVLOint")</f>
        <v>UVLOadj</v>
      </c>
      <c r="G56" s="383">
        <v>1</v>
      </c>
      <c r="H56" s="453" t="s">
        <v>289</v>
      </c>
      <c r="I56" s="388" t="str">
        <f>CHOOSE(J56, "SSadj", "SSint")</f>
        <v>SSint</v>
      </c>
      <c r="J56" s="383">
        <v>2</v>
      </c>
      <c r="L56" s="384" t="s">
        <v>300</v>
      </c>
      <c r="M56" s="383">
        <v>1</v>
      </c>
      <c r="O56" s="25"/>
      <c r="R56" s="471" t="s">
        <v>345</v>
      </c>
      <c r="S56" s="376">
        <v>1</v>
      </c>
      <c r="T56" s="78" t="s">
        <v>351</v>
      </c>
      <c r="U56" s="474">
        <v>0.5</v>
      </c>
    </row>
    <row r="57" spans="1:26" ht="13.5" thickBot="1" x14ac:dyDescent="0.25">
      <c r="A57" s="29"/>
      <c r="B57" s="30"/>
      <c r="C57" s="167"/>
      <c r="D57" s="30"/>
      <c r="E57" s="30"/>
      <c r="F57" s="30"/>
      <c r="G57" s="30"/>
      <c r="H57" s="30"/>
      <c r="I57" s="30"/>
      <c r="J57" s="30"/>
      <c r="K57" s="30"/>
      <c r="L57" s="30"/>
      <c r="M57" s="30"/>
      <c r="N57" s="30"/>
      <c r="O57" s="25"/>
      <c r="R57" s="471" t="s">
        <v>119</v>
      </c>
      <c r="S57" s="376">
        <v>2</v>
      </c>
      <c r="T57" s="78" t="s">
        <v>355</v>
      </c>
      <c r="U57" s="474">
        <v>1.3</v>
      </c>
    </row>
    <row r="58" spans="1:26" x14ac:dyDescent="0.2">
      <c r="A58" s="8"/>
      <c r="B58" s="8" t="b">
        <f>(CONFIG="2")</f>
        <v>0</v>
      </c>
      <c r="C58" s="41" t="str">
        <f>CONFIG</f>
        <v>1</v>
      </c>
      <c r="D58" s="8"/>
      <c r="E58" s="8"/>
      <c r="F58" s="8"/>
      <c r="G58" s="8"/>
      <c r="H58" s="8"/>
      <c r="I58" s="8"/>
      <c r="R58" s="471" t="s">
        <v>346</v>
      </c>
      <c r="S58" s="376">
        <v>3</v>
      </c>
      <c r="T58" s="78" t="s">
        <v>356</v>
      </c>
      <c r="U58" s="474">
        <v>2.5</v>
      </c>
    </row>
    <row r="59" spans="1:26" ht="16.5" thickBot="1" x14ac:dyDescent="0.3">
      <c r="A59" s="52" t="s">
        <v>582</v>
      </c>
      <c r="B59" s="41"/>
      <c r="C59" s="41"/>
      <c r="E59" s="8"/>
      <c r="F59" s="8"/>
      <c r="G59" s="8"/>
      <c r="H59" s="8"/>
      <c r="I59" s="8"/>
      <c r="R59" s="471" t="s">
        <v>347</v>
      </c>
      <c r="S59" s="376">
        <v>4</v>
      </c>
      <c r="T59" s="78" t="s">
        <v>354</v>
      </c>
      <c r="U59" s="474">
        <v>5.0999999999999996</v>
      </c>
    </row>
    <row r="60" spans="1:26" x14ac:dyDescent="0.2">
      <c r="A60" s="111"/>
      <c r="B60" s="617"/>
      <c r="C60" s="618"/>
      <c r="D60" s="160"/>
      <c r="E60" s="81"/>
      <c r="F60" s="32"/>
      <c r="G60" s="32"/>
      <c r="H60" s="32"/>
      <c r="I60" s="33">
        <v>1</v>
      </c>
      <c r="R60" s="471" t="s">
        <v>348</v>
      </c>
      <c r="S60" s="376">
        <v>5</v>
      </c>
      <c r="T60" s="78" t="s">
        <v>357</v>
      </c>
      <c r="U60" s="474">
        <v>8</v>
      </c>
    </row>
    <row r="61" spans="1:26" x14ac:dyDescent="0.2">
      <c r="A61" s="112" t="s">
        <v>150</v>
      </c>
      <c r="B61" s="169">
        <f>Nps*(Vout+Vfwd2)/(VIN_min+Nps*(Vout+Vfwd2))</f>
        <v>0.68680089485458606</v>
      </c>
      <c r="C61" s="8"/>
      <c r="E61" s="79"/>
      <c r="F61" s="8"/>
      <c r="G61" s="8"/>
      <c r="H61" s="8"/>
      <c r="I61" s="26">
        <v>1</v>
      </c>
      <c r="Q61" s="452" t="s">
        <v>349</v>
      </c>
      <c r="R61" s="458" t="str">
        <f>CHOOSE(S61,"0402","0603","0805","1206","1210")</f>
        <v>1210</v>
      </c>
      <c r="S61" s="472">
        <v>5</v>
      </c>
      <c r="T61" s="458" t="str">
        <f>CHOOSE(S61,T56,T57, T58,T59,T60)</f>
        <v>3.2 x 2.5</v>
      </c>
    </row>
    <row r="62" spans="1:26" x14ac:dyDescent="0.2">
      <c r="A62" s="112" t="s">
        <v>158</v>
      </c>
      <c r="B62" s="169">
        <f>Nps*(Vout+Vfwd1)/(VIN_nom+Nps*(Vout+Vfwd1))</f>
        <v>0.55963302752293576</v>
      </c>
      <c r="C62" s="8"/>
      <c r="F62" s="8"/>
      <c r="G62" s="8"/>
      <c r="H62" s="8"/>
      <c r="I62" s="26"/>
    </row>
    <row r="63" spans="1:26" x14ac:dyDescent="0.2">
      <c r="A63" s="112" t="s">
        <v>151</v>
      </c>
      <c r="B63" s="169">
        <f>Nps*(Vout+Vfwd1)/(VIN_max+Nps*(Vout+Vfwd1))</f>
        <v>0.38853503184713378</v>
      </c>
      <c r="C63" s="8"/>
      <c r="E63" s="79"/>
      <c r="F63" s="8"/>
      <c r="G63" s="8"/>
      <c r="H63" s="8"/>
      <c r="I63" s="26"/>
    </row>
    <row r="64" spans="1:26" x14ac:dyDescent="0.2">
      <c r="A64" s="78"/>
      <c r="B64" s="8"/>
      <c r="C64" s="8"/>
      <c r="D64" s="8"/>
      <c r="E64" s="79"/>
      <c r="F64" s="8"/>
      <c r="G64" s="8"/>
      <c r="H64" s="8"/>
      <c r="I64" s="26"/>
      <c r="R64" s="4" t="s">
        <v>660</v>
      </c>
      <c r="S64" s="4"/>
      <c r="T64" s="4" t="s">
        <v>116</v>
      </c>
      <c r="U64" s="4" t="s">
        <v>661</v>
      </c>
      <c r="W64" s="4" t="s">
        <v>660</v>
      </c>
      <c r="X64" s="4"/>
      <c r="Y64" s="4" t="s">
        <v>116</v>
      </c>
      <c r="Z64" s="4" t="s">
        <v>661</v>
      </c>
    </row>
    <row r="65" spans="1:26" x14ac:dyDescent="0.2">
      <c r="A65" s="112"/>
      <c r="B65" s="159"/>
      <c r="C65" s="79"/>
      <c r="D65" s="79"/>
      <c r="F65" s="8"/>
      <c r="G65" s="8"/>
      <c r="H65" s="8"/>
      <c r="I65" s="26"/>
      <c r="R65" s="78" t="s">
        <v>352</v>
      </c>
      <c r="S65" s="376">
        <v>1</v>
      </c>
      <c r="T65" s="488" t="s">
        <v>646</v>
      </c>
      <c r="U65" s="474">
        <v>36</v>
      </c>
      <c r="W65" s="78" t="s">
        <v>667</v>
      </c>
      <c r="X65" s="376">
        <v>1</v>
      </c>
      <c r="Y65" s="78" t="s">
        <v>355</v>
      </c>
      <c r="Z65">
        <v>1.3</v>
      </c>
    </row>
    <row r="66" spans="1:26" x14ac:dyDescent="0.2">
      <c r="A66" s="112"/>
      <c r="B66" s="159"/>
      <c r="C66" s="8"/>
      <c r="D66" s="79"/>
      <c r="F66" s="8"/>
      <c r="G66" s="8"/>
      <c r="H66" s="8"/>
      <c r="I66" s="26"/>
      <c r="R66" s="78" t="s">
        <v>353</v>
      </c>
      <c r="S66" s="376">
        <v>2</v>
      </c>
      <c r="T66" s="488" t="s">
        <v>645</v>
      </c>
      <c r="U66" s="474">
        <v>49</v>
      </c>
      <c r="W66" s="78" t="s">
        <v>657</v>
      </c>
      <c r="X66" s="376">
        <v>2</v>
      </c>
      <c r="Y66" s="78" t="s">
        <v>666</v>
      </c>
      <c r="Z66">
        <v>3.2</v>
      </c>
    </row>
    <row r="67" spans="1:26" x14ac:dyDescent="0.2">
      <c r="A67" s="112"/>
      <c r="B67" s="159"/>
      <c r="C67" s="79"/>
      <c r="D67" s="79"/>
      <c r="F67" s="8"/>
      <c r="G67" s="8"/>
      <c r="H67" s="8"/>
      <c r="I67" s="26"/>
      <c r="R67" s="78" t="s">
        <v>636</v>
      </c>
      <c r="S67" s="376">
        <v>3</v>
      </c>
      <c r="T67" s="488" t="s">
        <v>644</v>
      </c>
      <c r="U67" s="474">
        <v>64</v>
      </c>
      <c r="W67" s="78" t="s">
        <v>658</v>
      </c>
      <c r="X67" s="376">
        <v>3</v>
      </c>
      <c r="Y67" s="78" t="s">
        <v>665</v>
      </c>
      <c r="Z67">
        <v>6.5</v>
      </c>
    </row>
    <row r="68" spans="1:26" x14ac:dyDescent="0.2">
      <c r="A68" s="78"/>
      <c r="C68"/>
      <c r="I68" s="26">
        <v>1</v>
      </c>
      <c r="R68" s="78" t="s">
        <v>637</v>
      </c>
      <c r="S68" s="376">
        <v>4</v>
      </c>
      <c r="T68" s="488" t="s">
        <v>643</v>
      </c>
      <c r="U68" s="474">
        <v>81</v>
      </c>
      <c r="W68" s="78" t="s">
        <v>659</v>
      </c>
      <c r="X68" s="376">
        <v>4</v>
      </c>
      <c r="Y68" s="78" t="s">
        <v>664</v>
      </c>
      <c r="Z68">
        <v>12.5</v>
      </c>
    </row>
    <row r="69" spans="1:26" x14ac:dyDescent="0.2">
      <c r="A69" s="113"/>
      <c r="B69" s="158"/>
      <c r="C69" s="79"/>
      <c r="D69" s="79"/>
      <c r="E69" s="79"/>
      <c r="F69" s="8"/>
      <c r="G69" s="8"/>
      <c r="H69" s="8"/>
      <c r="I69" s="26"/>
      <c r="R69" s="78" t="s">
        <v>638</v>
      </c>
      <c r="S69" s="376">
        <v>5</v>
      </c>
      <c r="T69" s="488" t="s">
        <v>642</v>
      </c>
      <c r="U69" s="474">
        <v>100</v>
      </c>
      <c r="W69" s="452" t="s">
        <v>662</v>
      </c>
    </row>
    <row r="70" spans="1:26" x14ac:dyDescent="0.2">
      <c r="A70" s="113"/>
      <c r="B70" s="158"/>
      <c r="C70" s="8"/>
      <c r="D70" s="79"/>
      <c r="E70" s="79"/>
      <c r="F70" s="8"/>
      <c r="G70" s="8"/>
      <c r="H70" s="8"/>
      <c r="I70" s="26"/>
      <c r="R70" s="78" t="s">
        <v>639</v>
      </c>
      <c r="S70" s="376">
        <v>6</v>
      </c>
      <c r="T70" s="488" t="s">
        <v>641</v>
      </c>
      <c r="U70" s="474">
        <v>120</v>
      </c>
    </row>
    <row r="71" spans="1:26" x14ac:dyDescent="0.2">
      <c r="A71" s="113"/>
      <c r="B71" s="158"/>
      <c r="C71" s="79"/>
      <c r="D71" s="79"/>
      <c r="E71" s="79"/>
      <c r="F71" s="8"/>
      <c r="G71" s="8"/>
      <c r="H71" s="8"/>
      <c r="I71" s="26"/>
      <c r="R71" s="78" t="s">
        <v>640</v>
      </c>
      <c r="S71" s="376">
        <v>7</v>
      </c>
      <c r="T71" s="488" t="s">
        <v>647</v>
      </c>
      <c r="U71" s="474">
        <v>143</v>
      </c>
    </row>
    <row r="72" spans="1:26" ht="15.75" x14ac:dyDescent="0.3">
      <c r="A72" s="78"/>
      <c r="B72" s="8"/>
      <c r="C72" s="79"/>
      <c r="D72" s="8"/>
      <c r="E72" s="79"/>
      <c r="F72" s="8"/>
      <c r="G72" s="8"/>
      <c r="H72" s="8"/>
      <c r="I72" s="26"/>
      <c r="K72" s="78" t="s">
        <v>324</v>
      </c>
      <c r="Q72" s="452" t="s">
        <v>466</v>
      </c>
    </row>
    <row r="73" spans="1:26" x14ac:dyDescent="0.2">
      <c r="A73" s="112" t="s">
        <v>152</v>
      </c>
      <c r="B73" s="43">
        <f>'Design Converter'!L7/1000000</f>
        <v>4.0000000000000003E-5</v>
      </c>
      <c r="C73" s="8" t="s">
        <v>11</v>
      </c>
      <c r="D73" s="79" t="s">
        <v>465</v>
      </c>
      <c r="F73" s="8"/>
      <c r="G73" s="8"/>
      <c r="H73" s="8"/>
      <c r="I73" s="26"/>
    </row>
    <row r="74" spans="1:26" x14ac:dyDescent="0.2">
      <c r="A74" s="112" t="s">
        <v>693</v>
      </c>
      <c r="B74" s="135">
        <f>'Design Converter'!L11</f>
        <v>2100</v>
      </c>
      <c r="C74" s="8" t="s">
        <v>694</v>
      </c>
      <c r="D74" s="79"/>
      <c r="F74" s="8"/>
      <c r="G74" s="8"/>
      <c r="H74" s="8"/>
      <c r="I74" s="26"/>
    </row>
    <row r="75" spans="1:26" x14ac:dyDescent="0.2">
      <c r="A75" s="112" t="s">
        <v>398</v>
      </c>
      <c r="B75" s="11">
        <f>'Design Converter'!L8/1000</f>
        <v>0</v>
      </c>
      <c r="C75" s="115" t="s">
        <v>45</v>
      </c>
      <c r="D75" s="79" t="s">
        <v>463</v>
      </c>
      <c r="F75" s="8"/>
      <c r="G75" s="8"/>
      <c r="H75" s="8"/>
      <c r="I75" s="26"/>
    </row>
    <row r="76" spans="1:26" x14ac:dyDescent="0.2">
      <c r="A76" s="112" t="s">
        <v>461</v>
      </c>
      <c r="B76" s="11">
        <f>'Design Converter'!L9/1000</f>
        <v>0</v>
      </c>
      <c r="C76" s="115" t="s">
        <v>45</v>
      </c>
      <c r="D76" s="79" t="s">
        <v>464</v>
      </c>
      <c r="F76" s="8"/>
      <c r="G76" s="8"/>
      <c r="H76" s="8"/>
      <c r="I76" s="26">
        <v>2</v>
      </c>
    </row>
    <row r="77" spans="1:26" x14ac:dyDescent="0.2">
      <c r="A77" s="112" t="s">
        <v>462</v>
      </c>
      <c r="B77" s="11">
        <f>'Design Converter'!L10/1000</f>
        <v>0.09</v>
      </c>
      <c r="C77" s="115" t="s">
        <v>45</v>
      </c>
      <c r="D77" s="79" t="s">
        <v>564</v>
      </c>
      <c r="E77" s="79"/>
      <c r="F77" s="8"/>
      <c r="G77" s="8"/>
      <c r="H77" s="8"/>
      <c r="I77" s="26">
        <v>1</v>
      </c>
    </row>
    <row r="78" spans="1:26" x14ac:dyDescent="0.2">
      <c r="A78" s="112"/>
      <c r="B78" s="8"/>
      <c r="C78" s="8"/>
      <c r="D78" s="8"/>
      <c r="E78" s="8"/>
      <c r="F78" s="8"/>
      <c r="G78" s="8"/>
      <c r="H78" s="8"/>
      <c r="I78" s="26"/>
    </row>
    <row r="79" spans="1:26" ht="15.75" customHeight="1" x14ac:dyDescent="0.2">
      <c r="A79" s="79" t="s">
        <v>563</v>
      </c>
      <c r="B79" s="199">
        <v>100</v>
      </c>
      <c r="C79" s="113" t="s">
        <v>102</v>
      </c>
      <c r="D79" s="79"/>
      <c r="E79" s="8"/>
      <c r="F79" s="8"/>
      <c r="H79" s="8"/>
      <c r="I79" s="26"/>
    </row>
    <row r="80" spans="1:26" x14ac:dyDescent="0.2">
      <c r="A80" s="112" t="s">
        <v>560</v>
      </c>
      <c r="B80" s="191">
        <f>Rdcr_pri*(1+0.0039*(B79-25))</f>
        <v>0</v>
      </c>
      <c r="C80" s="115" t="s">
        <v>45</v>
      </c>
      <c r="D80" s="8"/>
      <c r="H80" s="8"/>
      <c r="I80" s="26"/>
    </row>
    <row r="81" spans="1:12" x14ac:dyDescent="0.2">
      <c r="A81" s="112" t="s">
        <v>561</v>
      </c>
      <c r="B81" s="191">
        <f>Rdcr_sec*(1+0.0039*(B79-25))</f>
        <v>0</v>
      </c>
      <c r="C81" s="115" t="s">
        <v>45</v>
      </c>
      <c r="D81" s="8"/>
      <c r="H81" s="8"/>
      <c r="I81" s="26"/>
    </row>
    <row r="82" spans="1:12" x14ac:dyDescent="0.2">
      <c r="A82" s="112" t="s">
        <v>562</v>
      </c>
      <c r="B82" s="191">
        <f>Rdcr_sec2*(1+0.0039*(B79-25))</f>
        <v>0.116325</v>
      </c>
      <c r="C82" s="115" t="s">
        <v>45</v>
      </c>
      <c r="D82" s="8"/>
      <c r="H82" s="8"/>
      <c r="I82" s="26"/>
    </row>
    <row r="83" spans="1:12" x14ac:dyDescent="0.2">
      <c r="I83" s="26"/>
    </row>
    <row r="84" spans="1:12" x14ac:dyDescent="0.2">
      <c r="A84" t="s">
        <v>692</v>
      </c>
      <c r="B84" s="656">
        <f>(Vout+Vfwd1)*Nps*0.0000005/Isw_min*1000000</f>
        <v>26.293103448275861</v>
      </c>
      <c r="C84" s="4" t="s">
        <v>11</v>
      </c>
      <c r="I84" s="26"/>
    </row>
    <row r="85" spans="1:12" ht="13.5" thickBot="1" x14ac:dyDescent="0.25">
      <c r="A85" s="173"/>
      <c r="B85" s="174"/>
      <c r="C85" s="30"/>
      <c r="D85" s="30"/>
      <c r="E85" s="30"/>
      <c r="F85" s="30"/>
      <c r="G85" s="30"/>
      <c r="H85" s="30"/>
      <c r="I85" s="31"/>
    </row>
    <row r="86" spans="1:12" x14ac:dyDescent="0.2">
      <c r="A86" s="41"/>
      <c r="B86" s="40"/>
      <c r="C86" s="40"/>
      <c r="D86" s="8"/>
      <c r="E86" s="8"/>
      <c r="F86" s="8"/>
      <c r="G86" s="8"/>
      <c r="H86" s="8"/>
      <c r="I86" s="8"/>
    </row>
    <row r="88" spans="1:12" ht="16.5" thickBot="1" x14ac:dyDescent="0.3">
      <c r="A88" s="52" t="s">
        <v>583</v>
      </c>
      <c r="B88" s="8"/>
      <c r="D88" s="41"/>
      <c r="E88" s="8"/>
      <c r="F88" s="8"/>
      <c r="G88" s="8"/>
      <c r="H88" s="8"/>
      <c r="I88" s="8"/>
    </row>
    <row r="89" spans="1:12" x14ac:dyDescent="0.2">
      <c r="A89" s="111" t="s">
        <v>165</v>
      </c>
      <c r="B89" s="428"/>
      <c r="C89" s="172" t="s">
        <v>1</v>
      </c>
      <c r="D89" s="81" t="s">
        <v>164</v>
      </c>
      <c r="E89" s="32"/>
      <c r="F89" s="32"/>
      <c r="G89" s="32"/>
      <c r="H89" s="32"/>
      <c r="I89" s="33"/>
      <c r="L89" s="6"/>
    </row>
    <row r="90" spans="1:12" x14ac:dyDescent="0.2">
      <c r="A90" s="112" t="s">
        <v>166</v>
      </c>
      <c r="B90" s="429"/>
      <c r="C90" s="113" t="s">
        <v>1</v>
      </c>
      <c r="D90" s="8"/>
      <c r="E90" s="79"/>
      <c r="F90" s="8"/>
      <c r="G90" s="8"/>
      <c r="H90" s="8"/>
      <c r="I90" s="26"/>
      <c r="L90" s="6"/>
    </row>
    <row r="91" spans="1:12" x14ac:dyDescent="0.2">
      <c r="A91" s="112" t="s">
        <v>167</v>
      </c>
      <c r="B91" s="429"/>
      <c r="C91" s="113" t="s">
        <v>1</v>
      </c>
      <c r="D91" s="8"/>
      <c r="E91" s="79"/>
      <c r="F91" s="8"/>
      <c r="G91" s="8"/>
      <c r="H91" s="8"/>
      <c r="I91" s="26"/>
      <c r="L91" s="6"/>
    </row>
    <row r="92" spans="1:12" x14ac:dyDescent="0.2">
      <c r="A92" s="112"/>
      <c r="B92" s="175"/>
      <c r="C92" s="113"/>
      <c r="D92" s="8"/>
      <c r="E92" s="79"/>
      <c r="F92" s="8"/>
      <c r="G92" s="8"/>
      <c r="H92" s="8"/>
      <c r="I92" s="26"/>
      <c r="L92" s="6"/>
    </row>
    <row r="93" spans="1:12" x14ac:dyDescent="0.2">
      <c r="A93" s="112" t="s">
        <v>175</v>
      </c>
      <c r="B93" s="570">
        <f>Vout_ripple</f>
        <v>150</v>
      </c>
      <c r="C93" s="113" t="s">
        <v>149</v>
      </c>
      <c r="D93" s="79" t="s">
        <v>619</v>
      </c>
      <c r="F93" s="8"/>
      <c r="G93" s="8"/>
      <c r="H93" s="8"/>
      <c r="I93" s="26"/>
      <c r="L93" s="6"/>
    </row>
    <row r="94" spans="1:12" x14ac:dyDescent="0.2">
      <c r="A94" s="513" t="s">
        <v>12</v>
      </c>
      <c r="B94" s="200">
        <f>MAX(4.7, CHOOSE(MODE, 'Calculations - Single'!BA105, 'Calculations - Dual'!AW105))</f>
        <v>9.6666666666666679</v>
      </c>
      <c r="C94" s="209" t="s">
        <v>97</v>
      </c>
      <c r="D94" s="79" t="s">
        <v>618</v>
      </c>
      <c r="E94" s="79"/>
      <c r="F94" s="8"/>
      <c r="G94" s="8"/>
      <c r="H94" s="8"/>
      <c r="I94" s="26"/>
    </row>
    <row r="95" spans="1:12" x14ac:dyDescent="0.2">
      <c r="A95" s="112" t="s">
        <v>14</v>
      </c>
      <c r="B95" s="614">
        <f>'Design Converter'!E21</f>
        <v>47</v>
      </c>
      <c r="C95" s="209" t="s">
        <v>97</v>
      </c>
      <c r="D95" s="79" t="s">
        <v>168</v>
      </c>
      <c r="F95" s="8"/>
      <c r="G95" s="8"/>
      <c r="H95" s="8"/>
      <c r="I95" s="26"/>
    </row>
    <row r="96" spans="1:12" x14ac:dyDescent="0.2">
      <c r="A96" s="208" t="s">
        <v>182</v>
      </c>
      <c r="B96" s="571">
        <f>(Vripple1_spec-Iout*B98/Cout*1000)/Iout</f>
        <v>397.16312056737587</v>
      </c>
      <c r="C96" s="115" t="s">
        <v>259</v>
      </c>
      <c r="D96" s="79" t="s">
        <v>107</v>
      </c>
      <c r="F96" s="8"/>
      <c r="G96" s="8"/>
      <c r="H96" s="8"/>
      <c r="I96" s="26"/>
    </row>
    <row r="97" spans="1:9" x14ac:dyDescent="0.2">
      <c r="A97" s="112" t="s">
        <v>54</v>
      </c>
      <c r="B97" s="201">
        <f>'Design Converter'!E22</f>
        <v>3</v>
      </c>
      <c r="C97" s="115" t="s">
        <v>259</v>
      </c>
      <c r="D97" s="79" t="s">
        <v>108</v>
      </c>
      <c r="F97" s="8"/>
      <c r="G97" s="8"/>
      <c r="H97" s="8"/>
      <c r="I97" s="26"/>
    </row>
    <row r="98" spans="1:9" x14ac:dyDescent="0.2">
      <c r="A98" s="112" t="s">
        <v>451</v>
      </c>
      <c r="B98" s="200">
        <f>CHOOSE(MODE, 'Calculations - Single'!AT105, 'Calculations - Dual'!AR105)</f>
        <v>4.833333333333333</v>
      </c>
      <c r="C98" s="209" t="s">
        <v>248</v>
      </c>
      <c r="D98" s="79"/>
      <c r="F98" s="8"/>
      <c r="G98" s="8"/>
      <c r="H98" s="8"/>
      <c r="I98" s="26"/>
    </row>
    <row r="99" spans="1:9" x14ac:dyDescent="0.2">
      <c r="A99" s="35" t="s">
        <v>450</v>
      </c>
      <c r="B99" s="611">
        <f>Iout*B98/Cout*1000+Iout*CoutEsr</f>
        <v>31.751063829787231</v>
      </c>
      <c r="C99" s="79" t="s">
        <v>456</v>
      </c>
      <c r="D99" s="79" t="s">
        <v>621</v>
      </c>
      <c r="F99" s="8"/>
      <c r="G99" s="8"/>
      <c r="H99" s="458" t="s">
        <v>586</v>
      </c>
      <c r="I99" s="26"/>
    </row>
    <row r="100" spans="1:9" x14ac:dyDescent="0.2">
      <c r="A100" s="35"/>
      <c r="B100" s="200"/>
      <c r="C100" s="79"/>
      <c r="D100" s="79"/>
      <c r="F100" s="8"/>
      <c r="G100" s="8"/>
      <c r="H100" s="8"/>
      <c r="I100" s="26"/>
    </row>
    <row r="101" spans="1:9" x14ac:dyDescent="0.2">
      <c r="A101" s="35"/>
      <c r="B101" s="200"/>
      <c r="C101" s="79"/>
      <c r="D101" s="79"/>
      <c r="F101" s="8"/>
      <c r="G101" s="8"/>
      <c r="H101" s="8"/>
      <c r="I101" s="26"/>
    </row>
    <row r="102" spans="1:9" x14ac:dyDescent="0.2">
      <c r="A102" s="619" t="s">
        <v>584</v>
      </c>
      <c r="B102" s="200"/>
      <c r="C102" s="209"/>
      <c r="D102" s="79"/>
      <c r="F102" s="8"/>
      <c r="G102" s="8"/>
      <c r="H102" s="8"/>
      <c r="I102" s="26"/>
    </row>
    <row r="103" spans="1:9" x14ac:dyDescent="0.2">
      <c r="A103" s="112" t="s">
        <v>565</v>
      </c>
      <c r="B103" s="570">
        <f>Vout_ripple2</f>
        <v>80</v>
      </c>
      <c r="C103" s="113" t="s">
        <v>149</v>
      </c>
      <c r="D103" s="79" t="s">
        <v>622</v>
      </c>
      <c r="F103" s="8"/>
      <c r="G103" s="8"/>
      <c r="H103" s="8"/>
      <c r="I103" s="26"/>
    </row>
    <row r="104" spans="1:9" x14ac:dyDescent="0.2">
      <c r="A104" s="513" t="s">
        <v>567</v>
      </c>
      <c r="B104" s="200">
        <f>MAX(4.7, 'Calculations - Dual'!AX105)</f>
        <v>18.125</v>
      </c>
      <c r="C104" s="209" t="s">
        <v>97</v>
      </c>
      <c r="D104" s="79" t="s">
        <v>618</v>
      </c>
      <c r="F104" s="8"/>
      <c r="G104" s="8"/>
      <c r="H104" s="8"/>
      <c r="I104" s="26"/>
    </row>
    <row r="105" spans="1:9" x14ac:dyDescent="0.2">
      <c r="A105" s="112" t="s">
        <v>566</v>
      </c>
      <c r="B105" s="614">
        <f>'Design Converter'!L21</f>
        <v>47</v>
      </c>
      <c r="C105" s="209" t="s">
        <v>97</v>
      </c>
      <c r="D105" s="79" t="s">
        <v>168</v>
      </c>
      <c r="F105" s="8"/>
      <c r="G105" s="8"/>
      <c r="H105" s="8"/>
      <c r="I105" s="26"/>
    </row>
    <row r="106" spans="1:9" x14ac:dyDescent="0.2">
      <c r="A106" s="208" t="s">
        <v>568</v>
      </c>
      <c r="B106" s="571">
        <f>(Vout_ripple2-Iout2*B108/Cout2*1000)/Iout2</f>
        <v>37.597001096677999</v>
      </c>
      <c r="C106" s="115" t="s">
        <v>259</v>
      </c>
      <c r="D106" s="79" t="s">
        <v>107</v>
      </c>
      <c r="F106" s="8"/>
      <c r="G106" s="8"/>
      <c r="H106" s="458" t="s">
        <v>585</v>
      </c>
      <c r="I106" s="26"/>
    </row>
    <row r="107" spans="1:9" x14ac:dyDescent="0.2">
      <c r="A107" s="112" t="s">
        <v>569</v>
      </c>
      <c r="B107" s="201">
        <f>'Design Converter'!L22</f>
        <v>3</v>
      </c>
      <c r="C107" s="115" t="s">
        <v>259</v>
      </c>
      <c r="D107" s="79" t="s">
        <v>108</v>
      </c>
      <c r="F107" s="8"/>
      <c r="G107" s="8"/>
      <c r="I107" s="26"/>
    </row>
    <row r="108" spans="1:9" x14ac:dyDescent="0.2">
      <c r="A108" s="112" t="s">
        <v>451</v>
      </c>
      <c r="B108" s="200">
        <f>'Calculations - Dual'!AR105</f>
        <v>10.766274281789467</v>
      </c>
      <c r="C108" s="209" t="s">
        <v>248</v>
      </c>
      <c r="D108" s="79"/>
      <c r="F108" s="8"/>
      <c r="G108" s="8"/>
      <c r="H108" s="458" t="s">
        <v>585</v>
      </c>
      <c r="I108" s="26"/>
    </row>
    <row r="109" spans="1:9" x14ac:dyDescent="0.2">
      <c r="A109" s="35" t="s">
        <v>450</v>
      </c>
      <c r="B109" s="611">
        <f>Iout2*B108/Cout2*1000+Iout2*CoutEsr2</f>
        <v>69.620899670996607</v>
      </c>
      <c r="C109" s="79" t="s">
        <v>456</v>
      </c>
      <c r="D109" s="79" t="s">
        <v>620</v>
      </c>
      <c r="F109" s="8"/>
      <c r="G109" s="8"/>
      <c r="H109" s="8"/>
      <c r="I109" s="26"/>
    </row>
    <row r="110" spans="1:9" x14ac:dyDescent="0.2">
      <c r="A110" s="41"/>
      <c r="B110" s="200"/>
      <c r="C110" s="79"/>
      <c r="D110" s="79"/>
      <c r="F110" s="8"/>
      <c r="G110" s="8"/>
      <c r="H110" s="8"/>
      <c r="I110" s="26"/>
    </row>
    <row r="111" spans="1:9" ht="13.5" thickBot="1" x14ac:dyDescent="0.25">
      <c r="A111" s="30"/>
      <c r="B111" s="30"/>
      <c r="C111" s="30"/>
      <c r="D111" s="30"/>
      <c r="E111" s="30"/>
      <c r="F111" s="30"/>
      <c r="G111" s="30"/>
      <c r="H111" s="30"/>
      <c r="I111" s="31"/>
    </row>
    <row r="113" spans="1:9" ht="13.5" thickBot="1" x14ac:dyDescent="0.25">
      <c r="A113" s="8"/>
      <c r="B113" s="8"/>
      <c r="C113" s="41"/>
      <c r="D113" s="8"/>
      <c r="E113" s="8"/>
      <c r="F113" s="8"/>
      <c r="G113" s="8"/>
      <c r="H113" s="8"/>
      <c r="I113" s="8"/>
    </row>
    <row r="114" spans="1:9" ht="15.75" x14ac:dyDescent="0.25">
      <c r="A114" s="63" t="s">
        <v>55</v>
      </c>
      <c r="B114" s="64"/>
      <c r="C114" s="176"/>
      <c r="D114" s="64"/>
      <c r="E114" s="64"/>
      <c r="F114" s="64"/>
      <c r="G114" s="64"/>
      <c r="H114" s="64"/>
      <c r="I114" s="65"/>
    </row>
    <row r="115" spans="1:9" x14ac:dyDescent="0.2">
      <c r="A115" s="573" t="s">
        <v>524</v>
      </c>
      <c r="B115" s="576">
        <f>0.05*VIN_nom</f>
        <v>0.60000000000000009</v>
      </c>
      <c r="C115" s="113" t="s">
        <v>457</v>
      </c>
      <c r="D115" s="78" t="s">
        <v>452</v>
      </c>
      <c r="E115" s="8"/>
      <c r="F115" s="8"/>
      <c r="G115" s="8"/>
      <c r="H115" s="8"/>
      <c r="I115" s="67"/>
    </row>
    <row r="116" spans="1:9" x14ac:dyDescent="0.2">
      <c r="A116" s="66"/>
      <c r="B116" s="13"/>
      <c r="C116" s="62"/>
      <c r="E116" s="8"/>
      <c r="F116" s="8"/>
      <c r="G116" s="8"/>
      <c r="H116" s="8"/>
      <c r="I116" s="67"/>
    </row>
    <row r="117" spans="1:9" x14ac:dyDescent="0.2">
      <c r="A117" s="68" t="s">
        <v>58</v>
      </c>
      <c r="B117" s="430"/>
      <c r="C117" s="209" t="s">
        <v>30</v>
      </c>
      <c r="E117" s="8"/>
      <c r="F117" s="8"/>
      <c r="G117" s="8"/>
      <c r="H117" s="8"/>
      <c r="I117" s="67"/>
    </row>
    <row r="118" spans="1:9" x14ac:dyDescent="0.2">
      <c r="A118" s="68" t="s">
        <v>98</v>
      </c>
      <c r="B118" s="193">
        <f>'Calculations - Single'!BB105</f>
        <v>2.7670722285816884</v>
      </c>
      <c r="C118" s="209" t="s">
        <v>97</v>
      </c>
      <c r="E118" s="8"/>
      <c r="F118" s="8"/>
      <c r="G118" s="8"/>
      <c r="H118" s="8"/>
      <c r="I118" s="67"/>
    </row>
    <row r="119" spans="1:9" x14ac:dyDescent="0.2">
      <c r="A119" s="208" t="s">
        <v>181</v>
      </c>
      <c r="B119" s="621">
        <f>MAX(2.2,Cinmin)</f>
        <v>2.7670722285816884</v>
      </c>
      <c r="C119" s="209" t="s">
        <v>97</v>
      </c>
      <c r="E119" s="8"/>
      <c r="F119" s="8"/>
      <c r="G119" s="8"/>
      <c r="H119" s="8"/>
      <c r="I119" s="67"/>
    </row>
    <row r="120" spans="1:9" x14ac:dyDescent="0.2">
      <c r="A120" s="68" t="s">
        <v>28</v>
      </c>
      <c r="B120" s="574">
        <f>'Design Converter'!E17</f>
        <v>47</v>
      </c>
      <c r="C120" s="209" t="s">
        <v>97</v>
      </c>
      <c r="D120" s="8" t="s">
        <v>60</v>
      </c>
      <c r="F120" s="8"/>
      <c r="G120" s="8"/>
      <c r="H120" s="8"/>
      <c r="I120" s="67"/>
    </row>
    <row r="121" spans="1:9" x14ac:dyDescent="0.2">
      <c r="A121" s="68"/>
      <c r="B121" s="572"/>
      <c r="C121" s="60"/>
      <c r="D121" s="8"/>
      <c r="F121" s="8"/>
      <c r="G121" s="8"/>
      <c r="H121" s="8"/>
      <c r="I121" s="67"/>
    </row>
    <row r="122" spans="1:9" x14ac:dyDescent="0.2">
      <c r="A122" s="69" t="s">
        <v>99</v>
      </c>
      <c r="B122" s="429">
        <f>(Vinripple1-B125*B127/Cin)/B126</f>
        <v>0.38943149908805563</v>
      </c>
      <c r="C122" s="115" t="s">
        <v>45</v>
      </c>
      <c r="D122" s="8"/>
      <c r="F122" s="8"/>
      <c r="G122" s="8"/>
      <c r="H122" s="8"/>
      <c r="I122" s="67"/>
    </row>
    <row r="123" spans="1:9" x14ac:dyDescent="0.2">
      <c r="A123" s="68" t="s">
        <v>37</v>
      </c>
      <c r="B123" s="61">
        <f>'Design Converter'!E18/1000</f>
        <v>5.0000000000000001E-3</v>
      </c>
      <c r="C123" s="115" t="s">
        <v>45</v>
      </c>
      <c r="D123" s="79" t="s">
        <v>109</v>
      </c>
      <c r="F123" s="8"/>
      <c r="G123" s="8"/>
      <c r="H123" s="8"/>
      <c r="I123" s="67"/>
    </row>
    <row r="124" spans="1:9" x14ac:dyDescent="0.2">
      <c r="A124" s="208" t="s">
        <v>183</v>
      </c>
      <c r="B124" s="377">
        <f>'Design Converter'!E18</f>
        <v>5</v>
      </c>
      <c r="C124" s="18" t="s">
        <v>162</v>
      </c>
      <c r="D124" s="79"/>
      <c r="F124" s="8"/>
      <c r="G124" s="8"/>
      <c r="H124" s="8"/>
      <c r="I124" s="67"/>
    </row>
    <row r="125" spans="1:9" x14ac:dyDescent="0.2">
      <c r="A125" s="208" t="s">
        <v>454</v>
      </c>
      <c r="B125" s="435">
        <f>Vout*Iout/VIN_nom/Efficiency</f>
        <v>0.41666666666666663</v>
      </c>
      <c r="C125" s="79" t="s">
        <v>1</v>
      </c>
      <c r="D125" s="79"/>
      <c r="F125" s="8"/>
      <c r="G125" s="8"/>
      <c r="H125" s="8"/>
      <c r="I125" s="67"/>
    </row>
    <row r="126" spans="1:9" x14ac:dyDescent="0.2">
      <c r="A126" s="208" t="s">
        <v>458</v>
      </c>
      <c r="B126" s="435">
        <f>CHOOSE(MODE, 'Calculations - Single'!AJ105, 'Calculations - Dual'!$AI$105)</f>
        <v>1.45</v>
      </c>
      <c r="C126" s="79" t="s">
        <v>1</v>
      </c>
      <c r="D126" s="79"/>
      <c r="F126" s="8"/>
      <c r="G126" s="8"/>
      <c r="H126" s="8"/>
      <c r="I126" s="67"/>
    </row>
    <row r="127" spans="1:9" x14ac:dyDescent="0.2">
      <c r="A127" s="208" t="s">
        <v>455</v>
      </c>
      <c r="B127" s="435">
        <f>CHOOSE(MODE, 'Calculations - Single'!AU105, 'Calculations - Dual'!$AT$105)</f>
        <v>3.9845840091576319</v>
      </c>
      <c r="C127" s="209" t="s">
        <v>248</v>
      </c>
      <c r="D127" s="79"/>
      <c r="F127" s="8"/>
      <c r="G127" s="8"/>
      <c r="H127" s="8"/>
      <c r="I127" s="67"/>
    </row>
    <row r="128" spans="1:9" x14ac:dyDescent="0.2">
      <c r="A128" s="208" t="s">
        <v>453</v>
      </c>
      <c r="B128" s="193">
        <f>B125*B127/Cin+B126*RCinEsr</f>
        <v>4.2574326322319424E-2</v>
      </c>
      <c r="C128" s="209" t="s">
        <v>457</v>
      </c>
      <c r="D128" s="78" t="s">
        <v>459</v>
      </c>
      <c r="E128" s="575"/>
      <c r="F128" s="209"/>
      <c r="G128" s="8"/>
      <c r="H128" s="8"/>
      <c r="I128" s="67"/>
    </row>
    <row r="129" spans="1:9" ht="13.5" thickBot="1" x14ac:dyDescent="0.25">
      <c r="A129" s="70"/>
      <c r="B129" s="71"/>
      <c r="C129" s="71"/>
      <c r="D129" s="71"/>
      <c r="E129" s="72"/>
      <c r="F129" s="72"/>
      <c r="G129" s="72"/>
      <c r="H129" s="72"/>
      <c r="I129" s="73"/>
    </row>
    <row r="130" spans="1:9" x14ac:dyDescent="0.2">
      <c r="A130" s="8"/>
      <c r="B130" s="8"/>
      <c r="C130" s="41"/>
      <c r="D130" s="8"/>
      <c r="E130" s="8"/>
      <c r="F130" s="8"/>
      <c r="G130" s="8"/>
      <c r="H130" s="8"/>
      <c r="I130" s="8"/>
    </row>
    <row r="131" spans="1:9" ht="16.5" thickBot="1" x14ac:dyDescent="0.3">
      <c r="A131" s="52" t="s">
        <v>62</v>
      </c>
      <c r="B131" s="8"/>
      <c r="C131" s="41"/>
      <c r="D131" s="8"/>
      <c r="E131" s="8"/>
      <c r="F131" s="8"/>
      <c r="G131" s="8"/>
      <c r="H131" s="8"/>
      <c r="I131" s="8"/>
    </row>
    <row r="132" spans="1:9" x14ac:dyDescent="0.2">
      <c r="A132" s="54" t="s">
        <v>64</v>
      </c>
      <c r="B132" s="10">
        <f>'Design Converter'!E29/1000</f>
        <v>5.0000000000000001E-3</v>
      </c>
      <c r="C132" s="32" t="s">
        <v>51</v>
      </c>
      <c r="D132" s="81" t="s">
        <v>177</v>
      </c>
      <c r="E132" s="32"/>
      <c r="F132" s="32"/>
      <c r="G132" s="32"/>
      <c r="H132" s="32"/>
      <c r="I132" s="33"/>
    </row>
    <row r="133" spans="1:9" x14ac:dyDescent="0.2">
      <c r="A133" s="25" t="s">
        <v>65</v>
      </c>
      <c r="B133" s="203">
        <v>1.0000000000000001E-5</v>
      </c>
      <c r="C133" s="8" t="s">
        <v>1</v>
      </c>
      <c r="D133" s="79" t="s">
        <v>310</v>
      </c>
      <c r="E133" s="8"/>
      <c r="F133" s="8"/>
      <c r="G133" s="8"/>
      <c r="H133" s="8"/>
      <c r="I133" s="26"/>
    </row>
    <row r="134" spans="1:9" x14ac:dyDescent="0.2">
      <c r="A134" s="25" t="s">
        <v>66</v>
      </c>
      <c r="B134" s="203">
        <f>0.000005*Tss/1.2</f>
        <v>2.0833333333333335E-8</v>
      </c>
      <c r="C134" s="8" t="s">
        <v>13</v>
      </c>
      <c r="D134" s="79" t="s">
        <v>312</v>
      </c>
      <c r="E134" s="8"/>
      <c r="F134" s="8"/>
      <c r="G134" s="8"/>
      <c r="H134" s="8"/>
      <c r="I134" s="26"/>
    </row>
    <row r="135" spans="1:9" ht="13.5" thickBot="1" x14ac:dyDescent="0.25">
      <c r="A135" s="29" t="s">
        <v>72</v>
      </c>
      <c r="B135" s="204">
        <f>'Standard Value Calculator'!B4</f>
        <v>2.1999999999999998E-8</v>
      </c>
      <c r="C135" s="30" t="s">
        <v>13</v>
      </c>
      <c r="D135" s="82" t="s">
        <v>313</v>
      </c>
      <c r="E135" s="30"/>
      <c r="F135" s="30"/>
      <c r="G135" s="30"/>
      <c r="H135" s="30"/>
      <c r="I135" s="31"/>
    </row>
    <row r="137" spans="1:9" ht="16.5" thickBot="1" x14ac:dyDescent="0.3">
      <c r="A137" s="52" t="s">
        <v>580</v>
      </c>
      <c r="B137" s="8"/>
      <c r="C137" s="41"/>
      <c r="D137" s="8"/>
      <c r="E137" s="8"/>
      <c r="F137" s="8"/>
      <c r="G137" s="8"/>
      <c r="H137" s="8"/>
      <c r="I137" s="8"/>
    </row>
    <row r="138" spans="1:9" ht="12.75" customHeight="1" x14ac:dyDescent="0.2">
      <c r="A138" s="111"/>
      <c r="B138" s="55"/>
      <c r="C138" s="163"/>
      <c r="D138" s="81"/>
      <c r="E138" s="32"/>
      <c r="F138" s="32"/>
      <c r="G138" s="32"/>
      <c r="H138" s="32"/>
      <c r="I138" s="33"/>
    </row>
    <row r="139" spans="1:9" ht="12.75" customHeight="1" x14ac:dyDescent="0.2">
      <c r="A139" s="112" t="s">
        <v>111</v>
      </c>
      <c r="B139" s="194">
        <v>1.5</v>
      </c>
      <c r="C139" s="79" t="s">
        <v>0</v>
      </c>
      <c r="D139" s="79"/>
      <c r="E139" s="8"/>
      <c r="F139" s="8"/>
      <c r="G139" s="8"/>
      <c r="H139" s="8"/>
      <c r="I139" s="26"/>
    </row>
    <row r="140" spans="1:9" ht="12.75" customHeight="1" x14ac:dyDescent="0.2">
      <c r="A140" s="112" t="s">
        <v>112</v>
      </c>
      <c r="B140" s="194">
        <v>1.45</v>
      </c>
      <c r="C140" s="79" t="s">
        <v>0</v>
      </c>
      <c r="D140" s="79"/>
      <c r="E140" s="8"/>
      <c r="F140" s="8"/>
      <c r="G140" s="8"/>
      <c r="H140" s="8"/>
      <c r="I140" s="26"/>
    </row>
    <row r="141" spans="1:9" ht="12.75" customHeight="1" x14ac:dyDescent="0.2">
      <c r="A141" s="112" t="s">
        <v>148</v>
      </c>
      <c r="B141" s="38">
        <f>B139-B140</f>
        <v>5.0000000000000044E-2</v>
      </c>
      <c r="C141" s="79" t="s">
        <v>0</v>
      </c>
      <c r="D141" s="79"/>
      <c r="E141" s="8"/>
      <c r="F141" s="8"/>
      <c r="G141" s="8"/>
      <c r="H141" s="8"/>
      <c r="I141" s="26"/>
    </row>
    <row r="142" spans="1:9" ht="12.75" customHeight="1" x14ac:dyDescent="0.2">
      <c r="A142" s="112" t="s">
        <v>383</v>
      </c>
      <c r="B142" s="8">
        <v>0</v>
      </c>
      <c r="C142" s="113" t="s">
        <v>1</v>
      </c>
      <c r="D142" s="79"/>
      <c r="E142" s="8"/>
      <c r="F142" s="8"/>
      <c r="G142" s="8"/>
      <c r="H142" s="8"/>
      <c r="I142" s="26"/>
    </row>
    <row r="143" spans="1:9" ht="12.75" customHeight="1" x14ac:dyDescent="0.2">
      <c r="A143" s="112" t="s">
        <v>382</v>
      </c>
      <c r="B143" s="539">
        <v>5.0000000000000001E-3</v>
      </c>
      <c r="C143" s="113" t="s">
        <v>30</v>
      </c>
      <c r="D143" s="79"/>
      <c r="E143" s="8"/>
      <c r="F143" s="8"/>
      <c r="G143" s="8"/>
      <c r="H143" s="8"/>
      <c r="I143" s="26"/>
    </row>
    <row r="144" spans="1:9" ht="12.75" customHeight="1" x14ac:dyDescent="0.2">
      <c r="A144" s="112" t="s">
        <v>381</v>
      </c>
      <c r="B144" s="540">
        <f>Iuvlo2-Iuvlo1</f>
        <v>5.0000000000000001E-3</v>
      </c>
      <c r="C144" s="113" t="s">
        <v>30</v>
      </c>
      <c r="D144" s="79"/>
      <c r="F144" s="8"/>
      <c r="G144" s="8"/>
      <c r="H144" s="8"/>
      <c r="I144" s="26"/>
    </row>
    <row r="145" spans="1:9" ht="12.75" customHeight="1" x14ac:dyDescent="0.2">
      <c r="A145" s="112"/>
      <c r="B145" s="38"/>
      <c r="C145" s="386"/>
      <c r="D145" s="79"/>
      <c r="E145" s="8"/>
      <c r="F145" s="8"/>
      <c r="G145" s="8"/>
      <c r="H145" s="8"/>
      <c r="I145" s="26"/>
    </row>
    <row r="146" spans="1:9" ht="12.75" customHeight="1" x14ac:dyDescent="0.3">
      <c r="A146" s="112" t="s">
        <v>110</v>
      </c>
      <c r="B146" s="192">
        <f>'Design Converter'!E35</f>
        <v>6.5</v>
      </c>
      <c r="C146" s="113" t="s">
        <v>0</v>
      </c>
      <c r="E146" s="8"/>
      <c r="F146" s="8"/>
      <c r="G146" s="8"/>
      <c r="H146" s="8"/>
      <c r="I146" s="26"/>
    </row>
    <row r="147" spans="1:9" ht="12.75" customHeight="1" x14ac:dyDescent="0.3">
      <c r="A147" s="112" t="s">
        <v>296</v>
      </c>
      <c r="B147" s="192">
        <f>'Design Converter'!E36</f>
        <v>6</v>
      </c>
      <c r="C147" s="113" t="s">
        <v>0</v>
      </c>
      <c r="E147" s="8"/>
      <c r="F147" s="8"/>
      <c r="G147" s="8"/>
      <c r="H147" s="8"/>
      <c r="I147" s="26"/>
    </row>
    <row r="148" spans="1:9" ht="12.75" customHeight="1" x14ac:dyDescent="0.2">
      <c r="A148" s="112"/>
      <c r="B148" s="38"/>
      <c r="C148" s="113"/>
      <c r="E148" s="8"/>
      <c r="F148" s="8"/>
      <c r="G148" s="8"/>
      <c r="H148" s="8"/>
      <c r="I148" s="26"/>
    </row>
    <row r="149" spans="1:9" ht="12.75" customHeight="1" x14ac:dyDescent="0.3">
      <c r="A149" s="112" t="s">
        <v>126</v>
      </c>
      <c r="B149" s="612">
        <f>(VINuvlo_off-VINuvlo_on*Vuvlo_off/Vuvlo_on)/(Iuvlo1*Vuvlo_off/Vuvlo_on-Iuvlo2)</f>
        <v>56.666666666666465</v>
      </c>
      <c r="C149" s="18" t="s">
        <v>113</v>
      </c>
      <c r="D149" s="8">
        <f>'Standard Value Calculator'!J16</f>
        <v>56.2</v>
      </c>
      <c r="E149" s="18" t="s">
        <v>113</v>
      </c>
      <c r="F149" s="38">
        <f>IF(Ruvlo1&lt;0,"N/A",D149)</f>
        <v>56.2</v>
      </c>
      <c r="G149" s="38" t="str">
        <f>IF(Ruvlo1&lt;0,"N/A",D149&amp;"kΩ")</f>
        <v>56.2kΩ</v>
      </c>
      <c r="I149" s="26"/>
    </row>
    <row r="150" spans="1:9" ht="12.75" customHeight="1" x14ac:dyDescent="0.3">
      <c r="A150" s="112" t="s">
        <v>127</v>
      </c>
      <c r="B150" s="195">
        <f>D149*Vuvlo_on/(VINuvlo_on-Vuvlo_on+Ruvlo1*Iuvlo1)</f>
        <v>16.860000000000003</v>
      </c>
      <c r="C150" s="18" t="s">
        <v>113</v>
      </c>
      <c r="D150" s="8">
        <f>'Standard Value Calculator'!J17</f>
        <v>16.900000000000002</v>
      </c>
      <c r="E150" s="18" t="s">
        <v>113</v>
      </c>
      <c r="F150" s="38">
        <f>IF(F149="N/A","N/A",D150)</f>
        <v>16.900000000000002</v>
      </c>
      <c r="G150" s="38" t="str">
        <f>IF(G149="N/A","N/A",D150&amp;"kΩ")</f>
        <v>16.9kΩ</v>
      </c>
      <c r="I150" s="26"/>
    </row>
    <row r="151" spans="1:9" ht="12.75" customHeight="1" x14ac:dyDescent="0.2">
      <c r="A151" s="112"/>
      <c r="B151" s="114"/>
      <c r="C151" s="18"/>
      <c r="D151" s="38"/>
      <c r="E151" s="18"/>
      <c r="F151" s="38"/>
      <c r="G151" s="38"/>
      <c r="I151" s="26"/>
    </row>
    <row r="152" spans="1:9" ht="12.75" customHeight="1" x14ac:dyDescent="0.3">
      <c r="A152" s="112" t="s">
        <v>114</v>
      </c>
      <c r="B152" s="613">
        <f>(D149+D150)/D150*Vuvlo_on</f>
        <v>6.4881656804733723</v>
      </c>
      <c r="C152" s="4" t="s">
        <v>0</v>
      </c>
      <c r="E152" s="8"/>
      <c r="F152" s="18"/>
      <c r="G152" s="8"/>
      <c r="H152" s="8"/>
      <c r="I152" s="26"/>
    </row>
    <row r="153" spans="1:9" ht="12.75" customHeight="1" x14ac:dyDescent="0.3">
      <c r="A153" s="112" t="s">
        <v>115</v>
      </c>
      <c r="B153" s="613">
        <f>(D149+D150)/D150*Vuvlo_off-Iuvlo2*D149</f>
        <v>5.9908934911242602</v>
      </c>
      <c r="C153" s="4" t="s">
        <v>0</v>
      </c>
      <c r="E153" s="8"/>
      <c r="F153" s="18"/>
      <c r="G153" s="8"/>
      <c r="H153" s="8"/>
      <c r="I153" s="26"/>
    </row>
    <row r="154" spans="1:9" ht="12.75" customHeight="1" thickBot="1" x14ac:dyDescent="0.25">
      <c r="A154" s="29"/>
      <c r="B154" s="39"/>
      <c r="C154" s="164"/>
      <c r="D154" s="30"/>
      <c r="E154" s="30"/>
      <c r="F154" s="30"/>
      <c r="G154" s="30"/>
      <c r="H154" s="30"/>
      <c r="I154" s="31"/>
    </row>
    <row r="155" spans="1:9" x14ac:dyDescent="0.2">
      <c r="B155" s="17"/>
      <c r="C155" s="165"/>
    </row>
    <row r="156" spans="1:9" ht="16.5" thickBot="1" x14ac:dyDescent="0.3">
      <c r="A156" s="52" t="s">
        <v>535</v>
      </c>
      <c r="B156" s="8"/>
      <c r="C156" s="41"/>
      <c r="D156" s="8"/>
      <c r="E156" s="8"/>
      <c r="F156" s="8"/>
      <c r="G156" s="8"/>
      <c r="H156" s="8"/>
      <c r="I156" s="8"/>
    </row>
    <row r="157" spans="1:9" x14ac:dyDescent="0.2">
      <c r="A157" s="183" t="s">
        <v>16</v>
      </c>
      <c r="B157" s="184">
        <v>3.1415926500000002</v>
      </c>
      <c r="C157" s="185"/>
      <c r="D157" s="186" t="s">
        <v>171</v>
      </c>
      <c r="E157" s="32"/>
      <c r="F157" s="32"/>
      <c r="G157" s="32"/>
      <c r="H157" s="32"/>
      <c r="I157" s="33"/>
    </row>
    <row r="158" spans="1:9" x14ac:dyDescent="0.2">
      <c r="A158" s="78" t="s">
        <v>186</v>
      </c>
      <c r="B158" s="212"/>
      <c r="C158" s="187" t="s">
        <v>185</v>
      </c>
      <c r="D158" s="189" t="s">
        <v>572</v>
      </c>
      <c r="I158" s="26"/>
    </row>
    <row r="159" spans="1:9" x14ac:dyDescent="0.2">
      <c r="A159" s="78" t="s">
        <v>187</v>
      </c>
      <c r="B159" s="212"/>
      <c r="C159" s="187" t="s">
        <v>185</v>
      </c>
      <c r="D159" s="189"/>
      <c r="I159" s="26"/>
    </row>
    <row r="160" spans="1:9" x14ac:dyDescent="0.2">
      <c r="C160" s="8"/>
      <c r="D160" s="8"/>
      <c r="F160" s="8"/>
      <c r="G160" s="8"/>
      <c r="H160" s="8"/>
      <c r="I160" s="26"/>
    </row>
    <row r="161" spans="1:9" x14ac:dyDescent="0.2">
      <c r="A161" s="112" t="s">
        <v>399</v>
      </c>
      <c r="B161" s="177">
        <f>(Vout+Vfwd1)*Nps*10</f>
        <v>152.5</v>
      </c>
      <c r="C161" s="18" t="s">
        <v>113</v>
      </c>
      <c r="D161" s="79" t="s">
        <v>537</v>
      </c>
      <c r="F161" s="8"/>
      <c r="G161" s="8"/>
      <c r="H161" s="8"/>
      <c r="I161" s="26">
        <v>1</v>
      </c>
    </row>
    <row r="162" spans="1:9" x14ac:dyDescent="0.2">
      <c r="A162" s="35" t="s">
        <v>536</v>
      </c>
      <c r="B162" s="182">
        <f>Rfb/1000</f>
        <v>457.5</v>
      </c>
      <c r="C162" s="18" t="s">
        <v>113</v>
      </c>
      <c r="D162" s="79" t="s">
        <v>534</v>
      </c>
      <c r="F162" s="8"/>
      <c r="G162" s="8"/>
      <c r="H162" s="8"/>
      <c r="I162" s="26"/>
    </row>
    <row r="163" spans="1:9" x14ac:dyDescent="0.2">
      <c r="A163" s="112" t="s">
        <v>53</v>
      </c>
      <c r="B163" s="37">
        <f>'Standard Value Calculator'!J10/1000</f>
        <v>453</v>
      </c>
      <c r="C163" s="18" t="s">
        <v>113</v>
      </c>
      <c r="D163" s="79" t="s">
        <v>365</v>
      </c>
      <c r="F163" s="8"/>
      <c r="G163" s="8"/>
      <c r="H163" s="8"/>
      <c r="I163" s="26"/>
    </row>
    <row r="164" spans="1:9" x14ac:dyDescent="0.2">
      <c r="A164" s="79"/>
      <c r="B164" s="13"/>
      <c r="C164" s="18"/>
      <c r="D164" s="79"/>
      <c r="F164" s="8"/>
      <c r="G164" s="8"/>
      <c r="H164" s="8"/>
      <c r="I164" s="26"/>
    </row>
    <row r="165" spans="1:9" x14ac:dyDescent="0.2">
      <c r="A165" s="113" t="s">
        <v>538</v>
      </c>
      <c r="B165" s="615">
        <f>'Design Converter'!E32</f>
        <v>-1.2</v>
      </c>
      <c r="C165" s="113" t="s">
        <v>392</v>
      </c>
      <c r="D165" s="79"/>
      <c r="F165" s="8"/>
      <c r="G165" s="8"/>
      <c r="H165" s="8"/>
      <c r="I165" s="26"/>
    </row>
    <row r="166" spans="1:9" ht="15.75" x14ac:dyDescent="0.3">
      <c r="A166" s="25" t="s">
        <v>533</v>
      </c>
      <c r="B166" s="379">
        <f>3*B162/Nps/ABS(Diode_TC)*1000</f>
        <v>1143750</v>
      </c>
      <c r="C166" s="18" t="s">
        <v>136</v>
      </c>
      <c r="D166" s="79"/>
      <c r="F166" s="8"/>
      <c r="G166" s="8"/>
      <c r="H166" s="8"/>
      <c r="I166" s="26"/>
    </row>
    <row r="167" spans="1:9" x14ac:dyDescent="0.2">
      <c r="A167" s="13" t="s">
        <v>539</v>
      </c>
      <c r="B167" s="175">
        <f>'Standard Value Calculator'!J9/1000</f>
        <v>1150</v>
      </c>
      <c r="C167" s="18" t="s">
        <v>113</v>
      </c>
      <c r="D167" s="79"/>
      <c r="F167" s="8"/>
      <c r="G167" s="8"/>
      <c r="H167" s="8"/>
      <c r="I167" s="26"/>
    </row>
    <row r="168" spans="1:9" ht="13.5" thickBot="1" x14ac:dyDescent="0.25">
      <c r="A168" s="188"/>
      <c r="B168" s="188"/>
      <c r="C168" s="42"/>
      <c r="D168" s="30"/>
      <c r="E168" s="42"/>
      <c r="F168" s="30"/>
      <c r="G168" s="30"/>
      <c r="H168" s="30"/>
      <c r="I168" s="31"/>
    </row>
    <row r="169" spans="1:9" x14ac:dyDescent="0.2">
      <c r="A169" s="3"/>
      <c r="B169" s="19"/>
      <c r="C169" s="19"/>
      <c r="E169" s="19"/>
    </row>
    <row r="170" spans="1:9" x14ac:dyDescent="0.2">
      <c r="A170" s="3"/>
      <c r="B170" s="19"/>
      <c r="C170" s="19"/>
      <c r="E170" s="19"/>
    </row>
    <row r="171" spans="1:9" ht="16.5" thickBot="1" x14ac:dyDescent="0.3">
      <c r="A171" s="56" t="s">
        <v>83</v>
      </c>
      <c r="B171" s="8"/>
      <c r="C171" s="41"/>
      <c r="D171" s="8"/>
      <c r="E171" s="8"/>
      <c r="F171" s="8"/>
      <c r="G171" s="8"/>
      <c r="H171" s="8"/>
      <c r="I171" s="8"/>
    </row>
    <row r="172" spans="1:9" x14ac:dyDescent="0.2">
      <c r="A172" s="54"/>
      <c r="B172" s="32"/>
      <c r="C172" s="166"/>
      <c r="D172" s="32"/>
      <c r="E172" s="32"/>
      <c r="F172" s="32"/>
      <c r="G172" s="32"/>
      <c r="H172" s="32"/>
      <c r="I172" s="33"/>
    </row>
    <row r="173" spans="1:9" x14ac:dyDescent="0.2">
      <c r="A173" s="35" t="s">
        <v>26</v>
      </c>
      <c r="B173" s="8"/>
      <c r="C173" s="41"/>
      <c r="D173" s="8"/>
      <c r="E173" s="8"/>
      <c r="F173" s="8"/>
      <c r="G173" s="8"/>
      <c r="H173" s="8"/>
      <c r="I173" s="26"/>
    </row>
    <row r="174" spans="1:9" x14ac:dyDescent="0.2">
      <c r="A174" s="25" t="s">
        <v>36</v>
      </c>
      <c r="B174" s="11">
        <v>25</v>
      </c>
      <c r="C174" s="79" t="s">
        <v>102</v>
      </c>
      <c r="D174" s="8" t="s">
        <v>40</v>
      </c>
      <c r="F174" s="8"/>
      <c r="G174" s="8"/>
      <c r="H174" s="8"/>
      <c r="I174" s="26"/>
    </row>
    <row r="175" spans="1:9" x14ac:dyDescent="0.2">
      <c r="A175" s="35" t="s">
        <v>29</v>
      </c>
      <c r="B175" s="8"/>
      <c r="C175" s="8"/>
      <c r="D175" s="8"/>
      <c r="F175" s="8"/>
      <c r="G175" s="8"/>
      <c r="H175" s="8"/>
      <c r="I175" s="26"/>
    </row>
    <row r="176" spans="1:9" x14ac:dyDescent="0.2">
      <c r="A176" s="25" t="s">
        <v>35</v>
      </c>
      <c r="B176" s="28">
        <f>4000/1000000</f>
        <v>4.0000000000000001E-3</v>
      </c>
      <c r="C176" s="79" t="s">
        <v>138</v>
      </c>
      <c r="D176" s="79" t="s">
        <v>573</v>
      </c>
      <c r="F176" s="8"/>
      <c r="G176" s="8"/>
      <c r="H176" s="8"/>
      <c r="I176" s="26"/>
    </row>
    <row r="177" spans="1:9" ht="15.75" x14ac:dyDescent="0.3">
      <c r="A177" s="112" t="s">
        <v>178</v>
      </c>
      <c r="B177" s="28">
        <v>20</v>
      </c>
      <c r="C177" s="113" t="s">
        <v>84</v>
      </c>
      <c r="D177" s="79" t="s">
        <v>574</v>
      </c>
      <c r="F177" s="8"/>
      <c r="G177" s="8"/>
      <c r="H177" s="8"/>
      <c r="I177" s="26"/>
    </row>
    <row r="178" spans="1:9" x14ac:dyDescent="0.2">
      <c r="A178" s="25" t="s">
        <v>37</v>
      </c>
      <c r="B178" s="11">
        <f>RCinEsr</f>
        <v>5.0000000000000001E-3</v>
      </c>
      <c r="C178" s="115" t="s">
        <v>45</v>
      </c>
      <c r="D178" s="79" t="s">
        <v>179</v>
      </c>
      <c r="F178" s="8"/>
      <c r="G178" s="8"/>
      <c r="H178" s="8"/>
      <c r="I178" s="26"/>
    </row>
    <row r="179" spans="1:9" x14ac:dyDescent="0.2">
      <c r="A179" s="25"/>
      <c r="B179" s="11"/>
      <c r="C179" s="115"/>
      <c r="D179" s="79"/>
      <c r="F179" s="8"/>
      <c r="G179" s="8"/>
      <c r="H179" s="8"/>
      <c r="I179" s="26"/>
    </row>
    <row r="180" spans="1:9" x14ac:dyDescent="0.2">
      <c r="A180" s="34" t="s">
        <v>52</v>
      </c>
      <c r="B180" s="8"/>
      <c r="C180" s="8"/>
      <c r="D180" s="8"/>
      <c r="F180" s="8"/>
      <c r="G180" s="8"/>
      <c r="H180" s="8"/>
      <c r="I180" s="26"/>
    </row>
    <row r="181" spans="1:9" x14ac:dyDescent="0.2">
      <c r="A181" s="112" t="s">
        <v>286</v>
      </c>
      <c r="B181" s="28">
        <f>Vdd</f>
        <v>5</v>
      </c>
      <c r="C181" s="62" t="s">
        <v>0</v>
      </c>
      <c r="D181" s="190"/>
      <c r="F181" s="8"/>
      <c r="G181" s="8"/>
      <c r="H181" s="8"/>
      <c r="I181" s="26"/>
    </row>
    <row r="182" spans="1:9" x14ac:dyDescent="0.2">
      <c r="A182" s="25" t="s">
        <v>49</v>
      </c>
      <c r="B182" s="36">
        <f>IQ</f>
        <v>2.9E-4</v>
      </c>
      <c r="C182" s="8" t="s">
        <v>1</v>
      </c>
      <c r="D182" s="8" t="s">
        <v>50</v>
      </c>
      <c r="F182" s="8"/>
      <c r="G182" s="8"/>
      <c r="H182" s="8"/>
      <c r="I182" s="26"/>
    </row>
    <row r="183" spans="1:9" x14ac:dyDescent="0.2">
      <c r="A183" s="25"/>
      <c r="B183" s="8"/>
      <c r="C183" s="8"/>
      <c r="D183" s="8"/>
      <c r="F183" s="8"/>
      <c r="G183" s="8"/>
      <c r="H183" s="8"/>
      <c r="I183" s="26"/>
    </row>
    <row r="184" spans="1:9" x14ac:dyDescent="0.2">
      <c r="A184" s="57" t="s">
        <v>173</v>
      </c>
      <c r="B184" s="44" t="s">
        <v>6</v>
      </c>
      <c r="C184" s="15" t="s">
        <v>33</v>
      </c>
      <c r="D184" s="8"/>
      <c r="F184" s="8"/>
      <c r="G184" s="8"/>
      <c r="H184" s="8"/>
      <c r="I184" s="26"/>
    </row>
    <row r="185" spans="1:9" x14ac:dyDescent="0.2">
      <c r="A185" s="58" t="s">
        <v>44</v>
      </c>
      <c r="B185" s="45"/>
      <c r="C185" s="46" t="s">
        <v>45</v>
      </c>
      <c r="D185" s="8"/>
      <c r="F185" s="8"/>
      <c r="G185" s="8"/>
      <c r="H185" s="8"/>
      <c r="I185" s="26"/>
    </row>
    <row r="186" spans="1:9" x14ac:dyDescent="0.2">
      <c r="A186" s="58" t="s">
        <v>46</v>
      </c>
      <c r="B186" s="14" t="e">
        <f>B185*ThetaJaCtrl</f>
        <v>#NAME?</v>
      </c>
      <c r="C186" s="113" t="s">
        <v>102</v>
      </c>
      <c r="D186" s="8"/>
      <c r="F186" s="8"/>
      <c r="G186" s="8"/>
      <c r="H186" s="8"/>
      <c r="I186" s="26"/>
    </row>
    <row r="187" spans="1:9" x14ac:dyDescent="0.2">
      <c r="A187" s="58" t="s">
        <v>87</v>
      </c>
      <c r="B187" s="14" t="e">
        <f>(Qg_Q1+Qg_Q2)*Fsw+IQ</f>
        <v>#NAME?</v>
      </c>
      <c r="C187" s="13" t="s">
        <v>1</v>
      </c>
      <c r="D187" s="8"/>
      <c r="F187" s="8"/>
      <c r="G187" s="8"/>
      <c r="H187" s="8"/>
      <c r="I187" s="26"/>
    </row>
    <row r="188" spans="1:9" x14ac:dyDescent="0.2">
      <c r="A188" s="58" t="s">
        <v>88</v>
      </c>
      <c r="B188" s="13" t="e">
        <f>Qrr_Q2*Fsw</f>
        <v>#NAME?</v>
      </c>
      <c r="C188" s="13" t="s">
        <v>1</v>
      </c>
      <c r="D188" s="8"/>
      <c r="F188" s="8"/>
      <c r="G188" s="8"/>
      <c r="H188" s="8"/>
      <c r="I188" s="26"/>
    </row>
    <row r="189" spans="1:9" x14ac:dyDescent="0.2">
      <c r="A189" s="58" t="s">
        <v>89</v>
      </c>
      <c r="B189" s="13" t="e">
        <f>C189/Vin</f>
        <v>#NAME?</v>
      </c>
      <c r="C189" s="13" t="e">
        <f>Deadtime*Fsw*(Ipp/2)*(Vsd_Q1+Vsd_Q2)</f>
        <v>#NAME?</v>
      </c>
      <c r="D189" s="8"/>
      <c r="F189" s="8"/>
      <c r="G189" s="8"/>
      <c r="H189" s="8"/>
      <c r="I189" s="26"/>
    </row>
    <row r="190" spans="1:9" x14ac:dyDescent="0.2">
      <c r="A190" s="58" t="s">
        <v>91</v>
      </c>
      <c r="B190" s="13" t="e">
        <f>SUM(B187:B189)</f>
        <v>#NAME?</v>
      </c>
      <c r="C190" s="13" t="s">
        <v>1</v>
      </c>
      <c r="D190" s="8"/>
      <c r="F190" s="8"/>
      <c r="G190" s="8"/>
      <c r="H190" s="8"/>
      <c r="I190" s="26"/>
    </row>
    <row r="191" spans="1:9" ht="13.5" thickBot="1" x14ac:dyDescent="0.25">
      <c r="A191" s="29"/>
      <c r="B191" s="30"/>
      <c r="C191" s="167"/>
      <c r="D191" s="30"/>
      <c r="E191" s="30"/>
      <c r="F191" s="30"/>
      <c r="G191" s="30"/>
      <c r="H191" s="30"/>
      <c r="I191" s="31"/>
    </row>
    <row r="192" spans="1:9" x14ac:dyDescent="0.2">
      <c r="A192" s="3"/>
      <c r="B192" s="3"/>
      <c r="C192" s="3"/>
    </row>
    <row r="193" spans="1:9" ht="21.75" customHeight="1" thickBot="1" x14ac:dyDescent="0.3">
      <c r="A193" s="52" t="s">
        <v>85</v>
      </c>
      <c r="B193" s="8"/>
      <c r="C193" s="41"/>
      <c r="D193" s="8"/>
      <c r="E193" s="8"/>
      <c r="F193" s="8"/>
      <c r="G193" s="8"/>
      <c r="H193" s="8"/>
      <c r="I193" s="8"/>
    </row>
    <row r="194" spans="1:9" x14ac:dyDescent="0.2">
      <c r="A194" s="54"/>
      <c r="B194" s="32"/>
      <c r="C194" s="166"/>
      <c r="D194" s="32"/>
      <c r="E194" s="59"/>
      <c r="F194" s="59"/>
      <c r="G194" s="59"/>
      <c r="H194" s="59"/>
      <c r="I194" s="33"/>
    </row>
    <row r="195" spans="1:9" x14ac:dyDescent="0.2">
      <c r="A195" s="25"/>
      <c r="B195" s="113"/>
      <c r="C195" s="41"/>
      <c r="D195" s="8"/>
      <c r="E195" s="207"/>
      <c r="F195" s="207"/>
      <c r="G195" s="207"/>
      <c r="H195" s="207"/>
      <c r="I195" s="26"/>
    </row>
    <row r="196" spans="1:9" x14ac:dyDescent="0.2">
      <c r="A196" s="25" t="str">
        <f>"RUV1 = "&amp;'Design Converter'!E37&amp;"MΩ"</f>
        <v>RUV1 = 56.2MΩ</v>
      </c>
      <c r="B196" s="8" t="str">
        <f>C237</f>
        <v>56.2kΩ</v>
      </c>
      <c r="C196" s="41"/>
      <c r="D196" s="8"/>
      <c r="E196" s="207"/>
      <c r="F196" s="207"/>
      <c r="G196" s="207"/>
      <c r="H196" s="207"/>
      <c r="I196" s="26"/>
    </row>
    <row r="197" spans="1:9" x14ac:dyDescent="0.2">
      <c r="A197" s="25" t="str">
        <f>"RUV2 = "&amp;'Design Converter'!E38&amp;"kΩ"</f>
        <v>RUV2 = 16.9kΩ</v>
      </c>
      <c r="B197" s="8" t="str">
        <f>C238</f>
        <v>16.9kΩ</v>
      </c>
      <c r="C197" s="41"/>
      <c r="D197" s="8"/>
      <c r="E197" s="207"/>
      <c r="F197" s="207"/>
      <c r="G197" s="207"/>
      <c r="H197" s="207"/>
      <c r="I197" s="26"/>
    </row>
    <row r="198" spans="1:9" x14ac:dyDescent="0.2">
      <c r="A198" s="25"/>
      <c r="B198" s="8"/>
      <c r="C198" s="41"/>
      <c r="D198" s="8"/>
      <c r="E198" s="207"/>
      <c r="F198" s="207"/>
      <c r="G198" s="207"/>
      <c r="H198" s="207"/>
      <c r="I198" s="26"/>
    </row>
    <row r="199" spans="1:9" x14ac:dyDescent="0.2">
      <c r="A199" s="25" t="str">
        <f>"Lmag = "&amp;'Design Converter'!L7&amp;"µH"</f>
        <v>Lmag = 40µH</v>
      </c>
      <c r="B199" s="8" t="str">
        <f>'Design Converter'!L7&amp;"µH"</f>
        <v>40µH</v>
      </c>
      <c r="C199" s="41"/>
      <c r="D199" s="8"/>
      <c r="E199" s="8"/>
      <c r="F199" s="8"/>
      <c r="G199" s="8"/>
      <c r="H199" s="8"/>
      <c r="I199" s="26"/>
    </row>
    <row r="200" spans="1:9" x14ac:dyDescent="0.2">
      <c r="A200" s="25" t="str">
        <f>"Rdcr = "&amp;Rdcr_pri*1000&amp;"mΩ"</f>
        <v>Rdcr = 0mΩ</v>
      </c>
      <c r="B200" s="206" t="str">
        <f>Rdcr_pri*1000&amp;"mΩ"</f>
        <v>0mΩ</v>
      </c>
      <c r="C200" s="41"/>
      <c r="D200" s="8"/>
      <c r="E200" s="8"/>
      <c r="F200" s="8"/>
      <c r="G200" s="8"/>
      <c r="H200" s="8"/>
      <c r="I200" s="26"/>
    </row>
    <row r="201" spans="1:9" x14ac:dyDescent="0.2">
      <c r="A201" s="112" t="s">
        <v>397</v>
      </c>
      <c r="B201" s="206" t="str">
        <f>W44</f>
        <v>1 : 1</v>
      </c>
      <c r="C201" s="41"/>
      <c r="D201" s="8"/>
      <c r="E201" s="8"/>
      <c r="F201" s="8"/>
      <c r="G201" s="8"/>
      <c r="H201" s="8"/>
      <c r="I201" s="26"/>
    </row>
    <row r="202" spans="1:9" x14ac:dyDescent="0.2">
      <c r="A202" s="25"/>
      <c r="B202" s="206"/>
      <c r="C202" s="41"/>
      <c r="D202" s="8"/>
      <c r="E202" s="8"/>
      <c r="F202" s="8"/>
      <c r="G202" s="8"/>
      <c r="H202" s="8"/>
      <c r="I202" s="26"/>
    </row>
    <row r="203" spans="1:9" x14ac:dyDescent="0.2">
      <c r="A203" s="25" t="str">
        <f>"Css = "&amp;ROUND(Css_u*1000000000,1)&amp;"nF"</f>
        <v>Css = 22nF</v>
      </c>
      <c r="B203" s="8" t="str">
        <f>ROUND(Css_u*1000000000,1)&amp;"nF"</f>
        <v>22nF</v>
      </c>
      <c r="C203" s="41"/>
      <c r="D203" s="8"/>
      <c r="E203" s="8"/>
      <c r="F203" s="8"/>
      <c r="G203" s="8"/>
      <c r="H203" s="8"/>
      <c r="I203" s="26"/>
    </row>
    <row r="204" spans="1:9" x14ac:dyDescent="0.2">
      <c r="A204" s="25"/>
      <c r="B204" s="8"/>
      <c r="C204" s="41"/>
      <c r="D204" s="8"/>
      <c r="E204" s="8"/>
      <c r="F204" s="8"/>
      <c r="G204" s="8"/>
      <c r="H204" s="8"/>
      <c r="I204" s="26"/>
    </row>
    <row r="205" spans="1:9" x14ac:dyDescent="0.2">
      <c r="A205" s="25" t="s">
        <v>57</v>
      </c>
      <c r="B205" s="8" t="str">
        <f>VIN_nom&amp;"V"</f>
        <v>12V</v>
      </c>
      <c r="C205" s="41"/>
      <c r="D205" s="8"/>
      <c r="E205" s="8"/>
      <c r="F205" s="8"/>
      <c r="G205" s="8"/>
      <c r="H205" s="8"/>
      <c r="I205" s="26"/>
    </row>
    <row r="206" spans="1:9" x14ac:dyDescent="0.2">
      <c r="A206" s="112" t="s">
        <v>188</v>
      </c>
      <c r="B206" s="8" t="str">
        <f>VIN_min&amp;"V..."&amp;VIN_max&amp;"V"</f>
        <v>7V...24V</v>
      </c>
      <c r="C206" s="41"/>
      <c r="D206" s="8"/>
      <c r="E206" s="8"/>
      <c r="F206" s="8"/>
      <c r="G206" s="8"/>
      <c r="H206" s="8"/>
      <c r="I206" s="26"/>
    </row>
    <row r="207" spans="1:9" x14ac:dyDescent="0.2">
      <c r="A207" s="112"/>
      <c r="B207" s="8"/>
      <c r="C207" s="41"/>
      <c r="D207" s="8"/>
      <c r="E207" s="8"/>
      <c r="F207" s="8"/>
      <c r="G207" s="8"/>
      <c r="H207" s="8"/>
      <c r="I207" s="26"/>
    </row>
    <row r="208" spans="1:9" x14ac:dyDescent="0.2">
      <c r="A208" s="25" t="str">
        <f>"VOUT = "&amp;'Design Converter'!E10&amp;"V"</f>
        <v>VOUT = 15V</v>
      </c>
      <c r="B208" s="8" t="str">
        <f>'Design Converter'!E10&amp;"V"</f>
        <v>15V</v>
      </c>
      <c r="C208" s="41"/>
      <c r="D208" s="8">
        <f>MODE</f>
        <v>1</v>
      </c>
      <c r="E208" s="8"/>
      <c r="F208" s="8"/>
      <c r="G208" s="8"/>
      <c r="H208" s="8"/>
      <c r="I208" s="26"/>
    </row>
    <row r="209" spans="1:9" x14ac:dyDescent="0.2">
      <c r="A209" s="25" t="str">
        <f>"VOUT2 = "&amp;'Design Converter'!E12&amp;"V"</f>
        <v>VOUT2 = -8V</v>
      </c>
      <c r="B209" s="8" t="str">
        <f>IF(MODE_TOP="DUAL", 'Design Converter'!E12&amp;"V", "")</f>
        <v/>
      </c>
      <c r="C209" s="41"/>
      <c r="D209" s="79" t="b">
        <f>MODE=2</f>
        <v>0</v>
      </c>
      <c r="E209" s="8"/>
      <c r="F209" s="8"/>
      <c r="G209" s="8"/>
      <c r="H209" s="8"/>
      <c r="I209" s="26"/>
    </row>
    <row r="210" spans="1:9" x14ac:dyDescent="0.2">
      <c r="A210" s="25" t="str">
        <f>"VOUT2 = "&amp;'Design Converter'!E12&amp;"V"</f>
        <v>VOUT2 = -8V</v>
      </c>
      <c r="B210" s="8" t="str">
        <f>IF(MODE_TOP="BIPOLAR", 'Design Converter'!E12&amp;"V", "")</f>
        <v/>
      </c>
      <c r="C210" s="41"/>
      <c r="D210" s="8"/>
      <c r="E210" s="8"/>
      <c r="F210" s="8"/>
      <c r="G210" s="8"/>
      <c r="H210" s="8"/>
      <c r="I210" s="26"/>
    </row>
    <row r="211" spans="1:9" x14ac:dyDescent="0.2">
      <c r="A211" s="25"/>
      <c r="B211" s="8"/>
      <c r="C211" s="41"/>
      <c r="D211" s="8"/>
      <c r="E211" s="8"/>
      <c r="F211" s="8"/>
      <c r="G211" s="8"/>
      <c r="H211" s="8"/>
      <c r="I211" s="26"/>
    </row>
    <row r="212" spans="1:9" x14ac:dyDescent="0.2">
      <c r="A212" s="405" t="s">
        <v>527</v>
      </c>
      <c r="B212" s="79" t="str">
        <f>IF(MODE=1, "", "Co1")</f>
        <v/>
      </c>
      <c r="C212" s="79" t="str">
        <f>IF(MODE_TOP="DUAL", "Co2", "")</f>
        <v/>
      </c>
      <c r="D212" s="79" t="str">
        <f>IF(MODE_TOP="BIPOLAR", "Co2", "")</f>
        <v/>
      </c>
      <c r="E212" s="8"/>
      <c r="F212" s="79" t="str">
        <f>MODE_TOP</f>
        <v>SINGLE</v>
      </c>
      <c r="G212" s="8"/>
      <c r="H212" s="8"/>
      <c r="I212" s="26"/>
    </row>
    <row r="213" spans="1:9" x14ac:dyDescent="0.2">
      <c r="A213" s="25" t="str">
        <f>"COUT = "&amp;'Design Converter'!$E$21&amp;"µF"</f>
        <v>COUT = 47µF</v>
      </c>
      <c r="B213" s="8" t="str">
        <f>'Design Converter'!$E$21&amp;"µF"</f>
        <v>47µF</v>
      </c>
      <c r="C213" s="8" t="str">
        <f>IF(MODE_TOP="DUAL", 'Design Converter'!$L$21&amp;"µF", "")</f>
        <v/>
      </c>
      <c r="D213" s="8" t="str">
        <f>IF(MODE_TOP="BIPOLAR", 'Design Converter'!$L$21&amp;"µF", "")</f>
        <v/>
      </c>
      <c r="E213" s="8"/>
      <c r="F213" s="8" t="str">
        <f>'Design Converter'!$L$21&amp;"µF"</f>
        <v>47µF</v>
      </c>
      <c r="G213" s="8"/>
      <c r="H213" s="8"/>
      <c r="I213" s="26"/>
    </row>
    <row r="214" spans="1:9" x14ac:dyDescent="0.2">
      <c r="A214" s="112" t="s">
        <v>134</v>
      </c>
      <c r="B214" s="8" t="str">
        <f>"22µF"</f>
        <v>22µF</v>
      </c>
      <c r="C214" s="41"/>
      <c r="D214" s="8"/>
      <c r="E214" s="8"/>
      <c r="F214" s="8"/>
      <c r="G214" s="8"/>
      <c r="H214" s="8"/>
      <c r="I214" s="26"/>
    </row>
    <row r="215" spans="1:9" x14ac:dyDescent="0.2">
      <c r="A215" s="112" t="s">
        <v>135</v>
      </c>
      <c r="B215" s="80" t="str">
        <f>ROUNDUP(Cout/22,0)&amp;" x"</f>
        <v>3 x</v>
      </c>
      <c r="C215" s="168"/>
      <c r="D215" s="8"/>
      <c r="E215" s="8"/>
      <c r="F215" s="8"/>
      <c r="G215" s="8"/>
      <c r="H215" s="8"/>
      <c r="I215" s="26"/>
    </row>
    <row r="216" spans="1:9" x14ac:dyDescent="0.2">
      <c r="A216" s="112"/>
      <c r="B216" s="80">
        <f>Cout</f>
        <v>47</v>
      </c>
      <c r="C216" s="168"/>
      <c r="D216" s="8"/>
      <c r="E216" s="8"/>
      <c r="F216" s="8"/>
      <c r="G216" s="8"/>
      <c r="H216" s="8"/>
      <c r="I216" s="26"/>
    </row>
    <row r="217" spans="1:9" x14ac:dyDescent="0.2">
      <c r="A217" s="405" t="s">
        <v>528</v>
      </c>
      <c r="B217" s="8"/>
      <c r="C217" s="41"/>
      <c r="D217" s="8"/>
      <c r="E217" s="8"/>
      <c r="F217" s="8"/>
      <c r="G217" s="8"/>
      <c r="H217" s="8"/>
      <c r="I217" s="26"/>
    </row>
    <row r="218" spans="1:9" x14ac:dyDescent="0.2">
      <c r="A218" s="25" t="s">
        <v>95</v>
      </c>
      <c r="B218" s="8" t="str">
        <f>Cin&amp;"µF"</f>
        <v>47µF</v>
      </c>
      <c r="E218" s="8"/>
      <c r="F218" s="8"/>
      <c r="G218" s="8"/>
      <c r="H218" s="8"/>
      <c r="I218" s="26"/>
    </row>
    <row r="219" spans="1:9" x14ac:dyDescent="0.2">
      <c r="A219" s="112" t="s">
        <v>133</v>
      </c>
      <c r="B219" s="8" t="str">
        <f>"4.7µF"</f>
        <v>4.7µF</v>
      </c>
      <c r="C219" s="41"/>
      <c r="D219" s="8"/>
      <c r="E219" s="8"/>
      <c r="F219" s="8"/>
      <c r="G219" s="8"/>
      <c r="H219" s="8"/>
      <c r="I219" s="26"/>
    </row>
    <row r="220" spans="1:9" x14ac:dyDescent="0.2">
      <c r="A220" s="112" t="s">
        <v>132</v>
      </c>
      <c r="B220" s="80" t="str">
        <f>ROUNDUP(Cin/4.7,0)&amp;" x"</f>
        <v>10 x</v>
      </c>
      <c r="C220" s="168"/>
      <c r="D220" s="8"/>
      <c r="E220" s="8"/>
      <c r="F220" s="8"/>
      <c r="G220" s="8"/>
      <c r="H220" s="8"/>
      <c r="I220" s="26"/>
    </row>
    <row r="221" spans="1:9" x14ac:dyDescent="0.2">
      <c r="A221" s="112"/>
      <c r="B221" s="80"/>
      <c r="D221" s="8"/>
      <c r="E221" s="8"/>
      <c r="F221" s="8"/>
      <c r="G221" s="8"/>
      <c r="H221" s="8"/>
      <c r="I221" s="26"/>
    </row>
    <row r="222" spans="1:9" ht="15.75" x14ac:dyDescent="0.3">
      <c r="A222" s="112" t="s">
        <v>529</v>
      </c>
      <c r="B222" s="600" t="s">
        <v>530</v>
      </c>
      <c r="C222" s="600" t="s">
        <v>575</v>
      </c>
      <c r="D222" s="8"/>
      <c r="E222" s="8"/>
      <c r="F222" s="8"/>
      <c r="G222" s="8"/>
      <c r="H222" s="8"/>
      <c r="I222" s="26"/>
    </row>
    <row r="223" spans="1:9" x14ac:dyDescent="0.2">
      <c r="A223" s="112"/>
      <c r="B223" s="80"/>
      <c r="D223" s="8"/>
      <c r="E223" s="8"/>
      <c r="F223" s="8"/>
      <c r="G223" s="8"/>
      <c r="H223" s="8"/>
      <c r="I223" s="26"/>
    </row>
    <row r="224" spans="1:9" x14ac:dyDescent="0.2">
      <c r="A224" s="405" t="s">
        <v>396</v>
      </c>
      <c r="B224" s="168" t="str">
        <f>IF(MODE_TC=1, "YES", "NO")</f>
        <v>NO</v>
      </c>
      <c r="D224" s="8"/>
      <c r="E224" s="8"/>
      <c r="F224" s="8"/>
      <c r="G224" s="8"/>
      <c r="H224" s="8"/>
      <c r="I224" s="26"/>
    </row>
    <row r="225" spans="1:9" x14ac:dyDescent="0.2">
      <c r="A225" s="112" t="s">
        <v>301</v>
      </c>
      <c r="B225" s="168" t="str">
        <f>IF(MODE_TC=2, "YES", "NO")</f>
        <v>YES</v>
      </c>
      <c r="C225" s="395" t="str">
        <f>IF(MODE_TC=2, "R1", "")</f>
        <v>R1</v>
      </c>
      <c r="D225" s="395" t="str">
        <f>IF(MODE_TC=2, "R2", "")</f>
        <v>R2</v>
      </c>
      <c r="E225" s="395"/>
      <c r="F225" s="8"/>
      <c r="G225" s="8"/>
      <c r="H225" s="8"/>
      <c r="I225" s="26"/>
    </row>
    <row r="226" spans="1:9" x14ac:dyDescent="0.2">
      <c r="A226" s="25" t="str">
        <f>"RFB = "&amp;'Design Converter'!E26&amp;"kΩ"</f>
        <v>RFB = 152.5kΩ</v>
      </c>
      <c r="B226" s="8" t="str">
        <f>IF(MODE_TC=1, "", 'Design Converter'!E26&amp;"kΩ")</f>
        <v>152.5kΩ</v>
      </c>
      <c r="C226" s="79" t="str">
        <f>'Design Converter'!E26&amp;"kΩ"</f>
        <v>152.5kΩ</v>
      </c>
      <c r="D226" s="8"/>
      <c r="E226" s="8"/>
      <c r="F226" s="8"/>
      <c r="G226" s="8"/>
      <c r="H226" s="8"/>
      <c r="I226" s="26"/>
    </row>
    <row r="227" spans="1:9" x14ac:dyDescent="0.2">
      <c r="A227" s="25" t="str">
        <f>"RFB2 = "&amp;IF(Vout=Vref,"OPEN",'Design Converter'!E27&amp;"kΩ")</f>
        <v>RFB2 = 457.5kΩ</v>
      </c>
      <c r="B227" s="8" t="str">
        <f>IF(MODE_TC=1, "", IF(Vout=Vref,"OPEN",Rfb2_u/1000&amp;"kΩ"))</f>
        <v>0.453kΩ</v>
      </c>
      <c r="C227" s="79" t="str">
        <f>'Design Converter'!E27&amp;"kΩ"</f>
        <v>457.5kΩ</v>
      </c>
      <c r="D227" s="8"/>
      <c r="E227" s="8"/>
      <c r="F227" s="8"/>
      <c r="G227" s="8"/>
      <c r="H227" s="8"/>
      <c r="I227" s="26"/>
    </row>
    <row r="228" spans="1:9" x14ac:dyDescent="0.2">
      <c r="A228" s="25"/>
      <c r="B228" s="8"/>
      <c r="C228" s="79"/>
      <c r="D228" s="8"/>
      <c r="E228" s="8"/>
      <c r="F228" s="8"/>
      <c r="G228" s="8"/>
      <c r="H228" s="8"/>
      <c r="I228" s="26"/>
    </row>
    <row r="229" spans="1:9" x14ac:dyDescent="0.2">
      <c r="A229" s="112" t="s">
        <v>305</v>
      </c>
      <c r="B229" s="41" t="str">
        <f>IF(MODE=1, "YES", "NO")</f>
        <v>YES</v>
      </c>
      <c r="C229" s="8" t="str">
        <f>IF(MODE=1,"Rt", "")</f>
        <v>Rt</v>
      </c>
      <c r="D229" s="8"/>
      <c r="E229" s="8"/>
      <c r="F229" s="8"/>
      <c r="G229" s="8"/>
      <c r="H229" s="8"/>
      <c r="I229" s="26"/>
    </row>
    <row r="230" spans="1:9" x14ac:dyDescent="0.2">
      <c r="A230" s="112" t="s">
        <v>139</v>
      </c>
      <c r="B230" s="8" t="e">
        <f>IF(MODE=2, "", 'Standard Value Calculator'!J4/1000&amp;"kΩ")</f>
        <v>#NAME?</v>
      </c>
      <c r="C230" s="41"/>
      <c r="D230" s="8"/>
      <c r="E230" s="8"/>
      <c r="F230" s="8"/>
      <c r="G230" s="8"/>
      <c r="H230" s="8"/>
      <c r="I230" s="26"/>
    </row>
    <row r="231" spans="1:9" x14ac:dyDescent="0.2">
      <c r="A231" s="112"/>
      <c r="B231" s="8"/>
      <c r="C231" s="41"/>
      <c r="D231" s="8"/>
      <c r="E231" s="8"/>
      <c r="F231" s="8"/>
      <c r="G231" s="8"/>
      <c r="H231" s="8"/>
      <c r="I231" s="26"/>
    </row>
    <row r="232" spans="1:9" x14ac:dyDescent="0.2">
      <c r="A232" s="405" t="s">
        <v>386</v>
      </c>
      <c r="B232" s="168" t="str">
        <f>IF(MODE=1, "YES", "NO")</f>
        <v>YES</v>
      </c>
      <c r="C232" s="79" t="str">
        <f>IF(TC=1,"Rtc", "")</f>
        <v/>
      </c>
      <c r="D232" s="8"/>
      <c r="E232" s="8"/>
      <c r="F232" s="8"/>
      <c r="G232" s="8"/>
      <c r="H232" s="8"/>
      <c r="I232" s="26"/>
    </row>
    <row r="233" spans="1:9" x14ac:dyDescent="0.2">
      <c r="A233" s="541" t="str">
        <f>"RTC = "&amp;RTC&amp;"kΩ"</f>
        <v>RTC = 1150kΩ</v>
      </c>
      <c r="B233" s="8" t="str">
        <f>IF(TC=1, RTC&amp;"kΩ", "")</f>
        <v/>
      </c>
      <c r="C233" s="79" t="str">
        <f>CHOOSE(TC,"Rtc","")</f>
        <v/>
      </c>
      <c r="D233" s="8"/>
      <c r="E233" s="8"/>
      <c r="F233" s="9"/>
      <c r="G233" s="8"/>
      <c r="H233" s="8"/>
      <c r="I233" s="26"/>
    </row>
    <row r="234" spans="1:9" x14ac:dyDescent="0.2">
      <c r="A234" s="112" t="s">
        <v>389</v>
      </c>
      <c r="B234" s="376"/>
      <c r="C234" s="8"/>
      <c r="D234" s="8"/>
      <c r="E234" s="8"/>
      <c r="F234" s="9"/>
      <c r="G234" s="8"/>
      <c r="H234" s="8"/>
      <c r="I234" s="26"/>
    </row>
    <row r="235" spans="1:9" x14ac:dyDescent="0.2">
      <c r="A235" s="25"/>
      <c r="B235" s="80"/>
      <c r="C235" s="168"/>
      <c r="D235" s="8"/>
      <c r="E235" s="115"/>
      <c r="F235" s="8"/>
      <c r="G235" s="8"/>
      <c r="H235" s="8"/>
      <c r="I235" s="26"/>
    </row>
    <row r="236" spans="1:9" x14ac:dyDescent="0.2">
      <c r="A236" s="405" t="s">
        <v>309</v>
      </c>
      <c r="B236" s="168" t="str">
        <f>IF(MODE_UVLO=1, "YES", "NO")</f>
        <v>YES</v>
      </c>
      <c r="C236" s="395" t="str">
        <f>IF(MODE_UVLO=1, "Ruv1", "")</f>
        <v>Ruv1</v>
      </c>
      <c r="D236" s="395" t="str">
        <f>IF(MODE_UVLO=1, "Ruv2", "")</f>
        <v>Ruv2</v>
      </c>
      <c r="E236" s="395"/>
      <c r="F236" s="395" t="s">
        <v>6</v>
      </c>
      <c r="G236" s="395" t="s">
        <v>33</v>
      </c>
      <c r="H236" s="79" t="s">
        <v>343</v>
      </c>
      <c r="I236" s="26"/>
    </row>
    <row r="237" spans="1:9" x14ac:dyDescent="0.2">
      <c r="A237" s="25" t="str">
        <f>"RUV1 = "&amp;C237</f>
        <v>RUV1 = 56.2kΩ</v>
      </c>
      <c r="B237" s="8" t="str">
        <f>'Design Converter'!E37&amp;" kΩ"</f>
        <v>56.2 kΩ</v>
      </c>
      <c r="C237" s="395" t="str">
        <f>IF(MODE_UVLO=1,'Design Converter'!E37&amp;"kΩ", "")</f>
        <v>56.2kΩ</v>
      </c>
      <c r="F237" s="8">
        <f>IF(MODE_UVLO=1,'Design Converter'!E37, "")</f>
        <v>56.2</v>
      </c>
      <c r="G237" s="79" t="str">
        <f>IF(MODE_UVLO=1,"kΩ", "")</f>
        <v>kΩ</v>
      </c>
      <c r="H237" s="395" t="str">
        <f>IF(MODE_UVLO=1,'Design Converter'!E37&amp;"k", "")</f>
        <v>56.2k</v>
      </c>
      <c r="I237" s="26"/>
    </row>
    <row r="238" spans="1:9" x14ac:dyDescent="0.2">
      <c r="A238" s="25" t="str">
        <f>"RUV2 = "&amp;C238</f>
        <v>RUV2 = 16.9kΩ</v>
      </c>
      <c r="B238" s="8" t="str">
        <f>IF(D150&gt;=1000, D150/1000&amp;" MΩ", D150&amp;" kΩ")</f>
        <v>16.9 kΩ</v>
      </c>
      <c r="C238" s="395" t="str">
        <f>IF(MODE_UVLO=1, IF(D150&lt;1, D150*1000&amp;"Ω", IF(D150&lt;1000, D150&amp;"kΩ", D150/1000&amp;"MΩ")), "")</f>
        <v>16.9kΩ</v>
      </c>
      <c r="F238" s="8">
        <f>IF(MODE_UVLO=1, IF(D150&lt;1, D150*1000, IF(D150&lt;1000, D150, D150/1000)), "")</f>
        <v>16.900000000000002</v>
      </c>
      <c r="G238" s="79" t="str">
        <f>IF(MODE_UVLO=1, IF(D150&lt;1, "Ω", IF(D150&lt;1000,"kΩ", "MΩ")), "")</f>
        <v>kΩ</v>
      </c>
      <c r="H238" s="395" t="str">
        <f>IF(MODE_UVLO=1, IF(D150&lt;1, D150*1000, IF(D150&lt;1000, D150&amp;"k", D150/1000&amp;"M")), "")</f>
        <v>16.9k</v>
      </c>
      <c r="I238" s="26"/>
    </row>
    <row r="239" spans="1:9" x14ac:dyDescent="0.2">
      <c r="A239" s="25"/>
      <c r="B239" s="8"/>
      <c r="C239" s="395"/>
      <c r="F239" s="8"/>
      <c r="G239" s="79"/>
      <c r="H239" s="395"/>
      <c r="I239" s="26"/>
    </row>
    <row r="240" spans="1:9" x14ac:dyDescent="0.2">
      <c r="A240" s="405" t="s">
        <v>390</v>
      </c>
      <c r="B240" s="8"/>
      <c r="C240" s="395"/>
      <c r="F240" s="8"/>
      <c r="G240" s="79"/>
      <c r="H240" s="395"/>
      <c r="I240" s="26"/>
    </row>
    <row r="241" spans="1:9" x14ac:dyDescent="0.2">
      <c r="A241" s="25" t="str">
        <f>"RSET = "&amp;C241</f>
        <v>RSET = 12.1kΩ</v>
      </c>
      <c r="B241" s="79" t="s">
        <v>385</v>
      </c>
      <c r="C241" s="79" t="s">
        <v>555</v>
      </c>
      <c r="F241" s="8">
        <f>IF(MODE_UVLO=1, IF(D151&lt;1, D151*1000, IF(D151&lt;1000, D151, D151/1000)), "")</f>
        <v>0</v>
      </c>
      <c r="G241" s="79" t="str">
        <f>IF(MODE_UVLO=1, IF(D151&lt;1, "Ω", IF(D151&lt;1000,"kΩ", "MΩ")), "")</f>
        <v>Ω</v>
      </c>
      <c r="H241" s="395">
        <f>IF(MODE_UVLO=1, IF(D151&lt;1, D151*1000, IF(D151&lt;1000, D151&amp;"k", D151&amp;"M")), "")</f>
        <v>0</v>
      </c>
      <c r="I241" s="26"/>
    </row>
    <row r="242" spans="1:9" x14ac:dyDescent="0.2">
      <c r="A242" s="25"/>
      <c r="B242" s="79"/>
      <c r="C242" s="79"/>
      <c r="F242" s="8"/>
      <c r="G242" s="79"/>
      <c r="H242" s="395"/>
      <c r="I242" s="26"/>
    </row>
    <row r="243" spans="1:9" x14ac:dyDescent="0.2">
      <c r="A243" s="405" t="s">
        <v>391</v>
      </c>
      <c r="B243" s="80"/>
      <c r="C243" s="168"/>
      <c r="D243" s="8"/>
      <c r="E243" s="115"/>
      <c r="F243" s="8"/>
      <c r="G243" s="8"/>
      <c r="H243" s="8"/>
      <c r="I243" s="26"/>
    </row>
    <row r="244" spans="1:9" x14ac:dyDescent="0.2">
      <c r="A244" s="25" t="str">
        <f>"Css = "&amp;Css*1000000000&amp;"nF"</f>
        <v>Css = 20.8333333333333nF</v>
      </c>
      <c r="B244" s="8" t="str">
        <f>Css*1000000000&amp;"nF"</f>
        <v>20.8333333333333nF</v>
      </c>
      <c r="D244" s="8"/>
      <c r="E244" s="8"/>
      <c r="F244" s="8"/>
      <c r="G244" s="8"/>
      <c r="H244" s="8"/>
      <c r="I244" s="26"/>
    </row>
    <row r="245" spans="1:9" x14ac:dyDescent="0.2">
      <c r="A245" s="25" t="s">
        <v>66</v>
      </c>
      <c r="B245" s="8" t="str">
        <f>CHOOSE(MODE_SS,'Standard Value Calculator'!B4*1000000000&amp;"nF","")</f>
        <v/>
      </c>
      <c r="C245" s="8" t="str">
        <f>CHOOSE(MODE_SS,"Css","")</f>
        <v/>
      </c>
      <c r="D245" s="406" t="str">
        <f>B245</f>
        <v/>
      </c>
      <c r="E245" s="8"/>
      <c r="F245" s="8"/>
      <c r="G245" s="8"/>
      <c r="H245" s="8"/>
      <c r="I245" s="26"/>
    </row>
    <row r="246" spans="1:9" x14ac:dyDescent="0.2">
      <c r="A246" s="25"/>
      <c r="B246" s="8"/>
      <c r="C246" s="79" t="str">
        <f>C245</f>
        <v/>
      </c>
      <c r="D246" s="41"/>
      <c r="E246" s="8"/>
      <c r="F246" s="8"/>
      <c r="G246" s="8"/>
      <c r="H246" s="8"/>
      <c r="I246" s="26"/>
    </row>
    <row r="247" spans="1:9" x14ac:dyDescent="0.2">
      <c r="A247" s="25"/>
      <c r="B247" s="8"/>
      <c r="C247" s="79"/>
      <c r="D247" s="41"/>
      <c r="E247" s="8"/>
      <c r="F247" s="8"/>
      <c r="G247" s="8"/>
      <c r="H247" s="8"/>
      <c r="I247" s="26"/>
    </row>
    <row r="248" spans="1:9" x14ac:dyDescent="0.2">
      <c r="A248" s="112" t="s">
        <v>668</v>
      </c>
      <c r="B248" s="79">
        <f>ROUND(Iout*2,1)</f>
        <v>0.6</v>
      </c>
      <c r="C248" s="79" t="s">
        <v>1</v>
      </c>
      <c r="D248" s="8"/>
      <c r="E248" s="8"/>
      <c r="F248" s="8"/>
      <c r="G248" s="8"/>
      <c r="H248" s="8"/>
      <c r="I248" s="26"/>
    </row>
    <row r="249" spans="1:9" x14ac:dyDescent="0.2">
      <c r="A249" s="112" t="s">
        <v>669</v>
      </c>
      <c r="B249">
        <f>ROUND(VRRM_DIODE,0)</f>
        <v>39</v>
      </c>
      <c r="C249" s="79" t="s">
        <v>0</v>
      </c>
      <c r="D249" s="8"/>
      <c r="E249" s="8"/>
      <c r="F249" s="8"/>
      <c r="G249" s="8"/>
      <c r="H249" s="8"/>
      <c r="I249" s="26"/>
    </row>
    <row r="250" spans="1:9" x14ac:dyDescent="0.2">
      <c r="F250" s="8"/>
      <c r="G250" s="8"/>
      <c r="H250" s="8"/>
      <c r="I250" s="26"/>
    </row>
    <row r="251" spans="1:9" x14ac:dyDescent="0.2">
      <c r="A251" s="112"/>
      <c r="B251" s="376"/>
      <c r="C251" s="8"/>
      <c r="D251" s="8"/>
      <c r="E251" s="8"/>
      <c r="F251" s="8"/>
      <c r="G251" s="8"/>
      <c r="H251" s="8"/>
      <c r="I251" s="26"/>
    </row>
    <row r="252" spans="1:9" x14ac:dyDescent="0.2">
      <c r="A252" s="112" t="s">
        <v>129</v>
      </c>
      <c r="B252" s="79" t="s">
        <v>314</v>
      </c>
      <c r="C252" s="8"/>
      <c r="D252" s="8"/>
      <c r="E252" s="8"/>
      <c r="F252" s="8"/>
      <c r="G252" s="8"/>
      <c r="H252" s="8"/>
      <c r="I252" s="26"/>
    </row>
    <row r="253" spans="1:9" x14ac:dyDescent="0.2">
      <c r="A253" s="112"/>
      <c r="B253" s="79"/>
      <c r="C253" s="8"/>
      <c r="D253" s="8"/>
      <c r="E253" s="8"/>
      <c r="F253" s="8"/>
      <c r="G253" s="8"/>
      <c r="H253" s="8"/>
      <c r="I253" s="26"/>
    </row>
    <row r="254" spans="1:9" x14ac:dyDescent="0.2">
      <c r="A254" s="112" t="s">
        <v>184</v>
      </c>
      <c r="B254" s="361" t="str">
        <f>CHOOSE(MODE, ROUND('Calculations - Single'!$BY$105,1)&amp;"%", ROUND('Calculations - Dual'!BY105,1)&amp;"%")</f>
        <v>88.4%</v>
      </c>
      <c r="C254" s="8"/>
      <c r="D254" s="8"/>
      <c r="E254" s="8"/>
      <c r="F254" s="8"/>
      <c r="G254" s="8"/>
      <c r="H254" s="8"/>
      <c r="I254" s="26"/>
    </row>
    <row r="255" spans="1:9" x14ac:dyDescent="0.2">
      <c r="A255" s="112" t="s">
        <v>507</v>
      </c>
      <c r="B255" s="361" t="str">
        <f>ROUND('Calculations - Single'!$BY$55,1)&amp;"%"</f>
        <v>88.2%</v>
      </c>
      <c r="C255" s="8"/>
      <c r="D255" s="8"/>
      <c r="E255" s="8"/>
      <c r="F255" s="8"/>
      <c r="G255" s="8"/>
      <c r="H255" s="8"/>
      <c r="I255" s="26"/>
    </row>
    <row r="256" spans="1:9" x14ac:dyDescent="0.2">
      <c r="A256" s="112" t="s">
        <v>311</v>
      </c>
      <c r="B256" s="361" t="str">
        <f>ROUND('Calculations - Single'!$BY$15,1)&amp;"%"</f>
        <v>84.9%</v>
      </c>
      <c r="C256" s="79" t="s">
        <v>316</v>
      </c>
      <c r="D256" s="8"/>
      <c r="E256" s="8"/>
      <c r="F256" s="8"/>
      <c r="G256" s="8"/>
      <c r="H256" s="8"/>
      <c r="I256" s="26"/>
    </row>
    <row r="257" spans="1:9" x14ac:dyDescent="0.2">
      <c r="A257" s="112" t="s">
        <v>315</v>
      </c>
      <c r="B257" s="361" t="str">
        <f>ROUND(Parameters!BZ56,1)&amp;"%"</f>
        <v>0%</v>
      </c>
      <c r="C257" s="79" t="s">
        <v>317</v>
      </c>
      <c r="D257" s="8"/>
      <c r="E257" s="8"/>
      <c r="F257" s="8"/>
      <c r="G257" s="8"/>
      <c r="H257" s="8"/>
      <c r="I257" s="26"/>
    </row>
    <row r="258" spans="1:9" x14ac:dyDescent="0.2">
      <c r="A258" s="25"/>
      <c r="B258" s="8"/>
      <c r="C258" s="41"/>
      <c r="D258" s="8"/>
      <c r="E258" s="8"/>
      <c r="F258" s="8"/>
      <c r="G258" s="8"/>
      <c r="H258" s="8"/>
      <c r="I258" s="26"/>
    </row>
    <row r="259" spans="1:9" x14ac:dyDescent="0.2">
      <c r="A259" s="25"/>
      <c r="B259" s="8"/>
      <c r="C259" s="41"/>
      <c r="D259" s="8"/>
      <c r="E259" s="8"/>
      <c r="F259" s="8"/>
      <c r="G259" s="8"/>
      <c r="H259" s="8"/>
      <c r="I259" s="26"/>
    </row>
    <row r="260" spans="1:9" x14ac:dyDescent="0.2">
      <c r="A260" s="25"/>
      <c r="B260" s="8"/>
      <c r="C260" s="41"/>
      <c r="D260" s="8"/>
      <c r="E260" s="8"/>
      <c r="F260" s="8"/>
      <c r="G260" s="8"/>
      <c r="H260" s="8"/>
      <c r="I260" s="26"/>
    </row>
    <row r="261" spans="1:9" x14ac:dyDescent="0.2">
      <c r="A261" s="25" t="s">
        <v>80</v>
      </c>
      <c r="B261" s="8" t="str">
        <f>IF(C261="y","","|")</f>
        <v>|</v>
      </c>
      <c r="C261" s="41" t="s">
        <v>323</v>
      </c>
      <c r="D261" s="8"/>
      <c r="E261" s="8"/>
      <c r="F261" s="8"/>
      <c r="G261" s="8"/>
      <c r="H261" s="8"/>
      <c r="I261" s="26"/>
    </row>
    <row r="262" spans="1:9" x14ac:dyDescent="0.2">
      <c r="A262" s="25"/>
      <c r="B262" s="8"/>
      <c r="C262" s="41"/>
      <c r="D262" s="8"/>
      <c r="E262" s="8"/>
      <c r="F262" s="8"/>
      <c r="G262" s="8"/>
      <c r="H262" s="8"/>
      <c r="I262" s="26"/>
    </row>
    <row r="263" spans="1:9" x14ac:dyDescent="0.2">
      <c r="A263" s="513" t="s">
        <v>86</v>
      </c>
      <c r="B263" s="8" t="str">
        <f>'Design Converter'!$E$11&amp;"A"</f>
        <v>0.3A</v>
      </c>
      <c r="C263" s="41"/>
      <c r="D263" s="8"/>
      <c r="E263" s="8"/>
      <c r="F263" s="8"/>
      <c r="G263" s="8"/>
      <c r="H263" s="8"/>
      <c r="I263" s="26"/>
    </row>
    <row r="264" spans="1:9" x14ac:dyDescent="0.2">
      <c r="A264" s="513" t="s">
        <v>526</v>
      </c>
      <c r="B264" s="8" t="str">
        <f>IF(MODE_TOP="DUAL", 'Design Converter'!$E$13&amp;"A", "")</f>
        <v/>
      </c>
      <c r="C264" s="41"/>
      <c r="D264" s="79">
        <f>MODE</f>
        <v>1</v>
      </c>
      <c r="E264" s="8"/>
      <c r="F264" s="8"/>
      <c r="G264" s="8"/>
      <c r="H264" s="8"/>
      <c r="I264" s="26"/>
    </row>
    <row r="265" spans="1:9" x14ac:dyDescent="0.2">
      <c r="A265" s="513" t="s">
        <v>525</v>
      </c>
      <c r="B265" s="8" t="str">
        <f>IF(MODE_TOP="BIPOLAR", Iout2_actual&amp;"A", "")</f>
        <v/>
      </c>
      <c r="C265" s="41"/>
      <c r="D265" s="8"/>
      <c r="E265" s="8"/>
      <c r="F265" s="8"/>
      <c r="G265" s="8"/>
      <c r="H265" s="8"/>
      <c r="I265" s="26"/>
    </row>
    <row r="266" spans="1:9" x14ac:dyDescent="0.2">
      <c r="A266" s="25"/>
      <c r="B266" s="8"/>
      <c r="C266" s="41"/>
      <c r="D266" s="8"/>
      <c r="E266" s="8"/>
      <c r="F266" s="8"/>
      <c r="G266" s="8"/>
      <c r="H266" s="8"/>
      <c r="I266" s="26"/>
    </row>
    <row r="267" spans="1:9" x14ac:dyDescent="0.2">
      <c r="A267" s="112" t="s">
        <v>94</v>
      </c>
      <c r="B267" s="8">
        <v>1</v>
      </c>
      <c r="C267" s="41"/>
      <c r="D267" s="8"/>
      <c r="E267" s="8"/>
      <c r="F267" s="8"/>
      <c r="G267" s="8"/>
      <c r="H267" s="8"/>
      <c r="I267" s="26"/>
    </row>
    <row r="268" spans="1:9" x14ac:dyDescent="0.2">
      <c r="A268" s="112" t="s">
        <v>93</v>
      </c>
      <c r="B268" s="8">
        <v>2</v>
      </c>
      <c r="C268" s="41"/>
      <c r="D268" s="8"/>
      <c r="E268" s="8"/>
      <c r="F268" s="8"/>
      <c r="G268" s="8"/>
      <c r="H268" s="8"/>
      <c r="I268" s="26"/>
    </row>
    <row r="269" spans="1:9" x14ac:dyDescent="0.2">
      <c r="A269" s="616" t="s">
        <v>57</v>
      </c>
      <c r="B269" s="8">
        <v>3</v>
      </c>
      <c r="C269" s="41"/>
      <c r="D269" s="8"/>
      <c r="E269" s="8"/>
      <c r="F269" s="8"/>
      <c r="G269" s="8"/>
      <c r="H269" s="8"/>
      <c r="I269" s="26"/>
    </row>
    <row r="270" spans="1:9" x14ac:dyDescent="0.2">
      <c r="A270" s="112" t="s">
        <v>576</v>
      </c>
      <c r="B270" s="8">
        <v>4</v>
      </c>
      <c r="C270" s="41"/>
      <c r="D270" s="8"/>
      <c r="E270" s="8"/>
      <c r="F270" s="8"/>
      <c r="G270" s="8"/>
      <c r="H270" s="8"/>
      <c r="I270" s="26"/>
    </row>
    <row r="271" spans="1:9" x14ac:dyDescent="0.2">
      <c r="A271" s="112" t="s">
        <v>577</v>
      </c>
      <c r="B271" s="8">
        <v>5</v>
      </c>
      <c r="C271" s="41"/>
      <c r="D271" s="8"/>
      <c r="E271" s="8"/>
      <c r="F271" s="8"/>
      <c r="G271" s="8"/>
      <c r="H271" s="8"/>
      <c r="I271" s="26"/>
    </row>
    <row r="272" spans="1:9" x14ac:dyDescent="0.2">
      <c r="A272" s="112" t="s">
        <v>578</v>
      </c>
      <c r="B272" s="8">
        <v>6</v>
      </c>
      <c r="C272" s="41"/>
      <c r="D272" s="8"/>
      <c r="E272" s="8"/>
      <c r="F272" s="8"/>
      <c r="G272" s="8"/>
      <c r="H272" s="8"/>
      <c r="I272" s="26"/>
    </row>
    <row r="273" spans="1:9" x14ac:dyDescent="0.2">
      <c r="A273" s="112" t="s">
        <v>579</v>
      </c>
      <c r="B273" s="8">
        <v>7</v>
      </c>
      <c r="C273" s="41"/>
      <c r="D273" s="8"/>
      <c r="E273" s="8"/>
      <c r="F273" s="8"/>
      <c r="G273" s="8"/>
      <c r="H273" s="8"/>
      <c r="I273" s="26"/>
    </row>
    <row r="274" spans="1:9" x14ac:dyDescent="0.2">
      <c r="A274" s="616" t="s">
        <v>92</v>
      </c>
      <c r="B274" s="8">
        <v>8</v>
      </c>
      <c r="C274" s="41"/>
      <c r="D274" s="8"/>
      <c r="E274" s="8"/>
      <c r="F274" s="8"/>
      <c r="G274" s="8"/>
      <c r="H274" s="8"/>
      <c r="I274" s="26"/>
    </row>
    <row r="275" spans="1:9" ht="13.5" thickBot="1" x14ac:dyDescent="0.25">
      <c r="A275" s="215"/>
      <c r="B275" s="30"/>
      <c r="C275" s="167"/>
      <c r="D275" s="30"/>
      <c r="E275" s="30"/>
      <c r="F275" s="30"/>
      <c r="G275" s="30"/>
      <c r="H275" s="30"/>
      <c r="I275" s="31"/>
    </row>
  </sheetData>
  <sheetProtection selectLockedCells="1"/>
  <mergeCells count="2">
    <mergeCell ref="E5:H5"/>
    <mergeCell ref="A1:I1"/>
  </mergeCells>
  <phoneticPr fontId="6" type="noConversion"/>
  <pageMargins left="0.75" right="0.75" top="1" bottom="1" header="0.5" footer="0.5"/>
  <pageSetup orientation="portrait" r:id="rId1"/>
  <headerFooter alignWithMargins="0"/>
  <ignoredErrors>
    <ignoredError sqref="R56:R60" numberStoredAsText="1"/>
  </ignoredErrors>
  <drawing r:id="rId2"/>
  <legacyDrawing r:id="rId3"/>
  <mc:AlternateContent xmlns:mc="http://schemas.openxmlformats.org/markup-compatibility/2006">
    <mc:Choice Requires="x14">
      <controls>
        <mc:AlternateContent xmlns:mc="http://schemas.openxmlformats.org/markup-compatibility/2006">
          <mc:Choice Requires="x14">
            <control shapeId="721921" r:id="rId4" name="Drop Down 1">
              <controlPr locked="0" defaultSize="0" autoLine="0" autoPict="0">
                <anchor moveWithCells="1">
                  <from>
                    <xdr:col>9</xdr:col>
                    <xdr:colOff>447675</xdr:colOff>
                    <xdr:row>6</xdr:row>
                    <xdr:rowOff>19050</xdr:rowOff>
                  </from>
                  <to>
                    <xdr:col>10</xdr:col>
                    <xdr:colOff>666750</xdr:colOff>
                    <xdr:row>7</xdr:row>
                    <xdr:rowOff>95250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7030A0"/>
  </sheetPr>
  <dimension ref="B1:CE321"/>
  <sheetViews>
    <sheetView zoomScaleNormal="100" workbookViewId="0">
      <pane xSplit="6" ySplit="4" topLeftCell="G74" activePane="bottomRight" state="frozen"/>
      <selection pane="topRight" activeCell="G1" sqref="G1"/>
      <selection pane="bottomLeft" activeCell="A5" sqref="A5"/>
      <selection pane="bottomRight" activeCell="O110" sqref="O110"/>
    </sheetView>
  </sheetViews>
  <sheetFormatPr defaultRowHeight="12.75" x14ac:dyDescent="0.2"/>
  <cols>
    <col min="1" max="1" width="2.85546875" customWidth="1"/>
    <col min="2" max="2" width="3.5703125" customWidth="1"/>
    <col min="3" max="3" width="2.85546875" customWidth="1"/>
    <col min="4" max="4" width="3.7109375" customWidth="1"/>
    <col min="5" max="5" width="6.140625" customWidth="1"/>
    <col min="6" max="7" width="7.7109375" customWidth="1"/>
    <col min="8" max="8" width="7.85546875" customWidth="1"/>
    <col min="9" max="9" width="6.28515625" customWidth="1"/>
    <col min="10" max="10" width="9.5703125" customWidth="1"/>
    <col min="11" max="11" width="9.28515625" customWidth="1"/>
    <col min="12" max="12" width="1.85546875" customWidth="1"/>
    <col min="13" max="13" width="8.42578125" customWidth="1"/>
    <col min="14" max="15" width="9.5703125" customWidth="1"/>
    <col min="16" max="16" width="8.85546875" customWidth="1"/>
    <col min="17" max="18" width="8.5703125" customWidth="1"/>
    <col min="19" max="19" width="11.140625" customWidth="1"/>
    <col min="20" max="20" width="10.42578125" customWidth="1"/>
    <col min="21" max="21" width="7.5703125" customWidth="1"/>
    <col min="22" max="22" width="9" customWidth="1"/>
    <col min="23" max="23" width="8.85546875" customWidth="1"/>
    <col min="24" max="24" width="10" customWidth="1"/>
    <col min="25" max="25" width="9.5703125" customWidth="1"/>
    <col min="26" max="26" width="1.85546875" customWidth="1"/>
    <col min="27" max="27" width="9.85546875" customWidth="1"/>
    <col min="28" max="28" width="10.42578125" customWidth="1"/>
    <col min="29" max="29" width="10.140625" customWidth="1"/>
    <col min="30" max="30" width="2" customWidth="1"/>
    <col min="31" max="31" width="9.140625" customWidth="1"/>
    <col min="32" max="32" width="9.42578125" customWidth="1"/>
    <col min="33" max="33" width="10.42578125" customWidth="1"/>
    <col min="34" max="34" width="2.140625" customWidth="1"/>
    <col min="36" max="36" width="8" customWidth="1"/>
    <col min="38" max="38" width="2.28515625" customWidth="1"/>
    <col min="39" max="39" width="6.5703125" customWidth="1"/>
    <col min="40" max="40" width="7.5703125" customWidth="1"/>
    <col min="41" max="41" width="2" customWidth="1"/>
    <col min="42" max="42" width="6.42578125" customWidth="1"/>
    <col min="43" max="43" width="7.5703125" customWidth="1"/>
    <col min="44" max="44" width="2.140625" customWidth="1"/>
    <col min="45" max="48" width="7" customWidth="1"/>
    <col min="49" max="50" width="8.42578125" customWidth="1"/>
    <col min="51" max="52" width="11" customWidth="1"/>
    <col min="53" max="53" width="9.42578125" customWidth="1"/>
    <col min="54" max="54" width="9.85546875" customWidth="1"/>
    <col min="55" max="55" width="2" customWidth="1"/>
    <col min="58" max="58" width="2.140625" customWidth="1"/>
    <col min="59" max="59" width="9" customWidth="1"/>
    <col min="60" max="61" width="8.140625" customWidth="1"/>
    <col min="62" max="62" width="8.7109375" customWidth="1"/>
    <col min="63" max="64" width="7.5703125" customWidth="1"/>
    <col min="65" max="66" width="10.28515625" customWidth="1"/>
    <col min="67" max="68" width="10.5703125" customWidth="1"/>
    <col min="69" max="69" width="8.7109375" customWidth="1"/>
    <col min="71" max="71" width="9.85546875" customWidth="1"/>
    <col min="72" max="72" width="12.140625" customWidth="1"/>
    <col min="73" max="73" width="9.140625" customWidth="1"/>
    <col min="75" max="75" width="7.7109375" customWidth="1"/>
    <col min="76" max="76" width="10.42578125" customWidth="1"/>
    <col min="77" max="77" width="12.42578125" bestFit="1" customWidth="1"/>
    <col min="78" max="78" width="4.5703125" customWidth="1"/>
    <col min="79" max="79" width="5" customWidth="1"/>
    <col min="80" max="80" width="9.5703125" customWidth="1"/>
  </cols>
  <sheetData>
    <row r="1" spans="2:81" x14ac:dyDescent="0.2">
      <c r="B1" s="458" t="s">
        <v>532</v>
      </c>
      <c r="M1">
        <f>Vfwd2</f>
        <v>0.35</v>
      </c>
    </row>
    <row r="2" spans="2:81" ht="13.5" thickBot="1" x14ac:dyDescent="0.25">
      <c r="M2">
        <f>Vfwd1</f>
        <v>0.25</v>
      </c>
      <c r="U2">
        <f>Isw_max</f>
        <v>1.45</v>
      </c>
    </row>
    <row r="3" spans="2:81" x14ac:dyDescent="0.2">
      <c r="E3" s="228" t="s">
        <v>434</v>
      </c>
      <c r="F3" s="560"/>
      <c r="G3" s="560"/>
      <c r="H3" s="560"/>
      <c r="I3" s="229"/>
      <c r="J3" s="230"/>
      <c r="K3" s="544"/>
      <c r="L3" s="544"/>
      <c r="M3" s="687" t="s">
        <v>190</v>
      </c>
      <c r="N3" s="688"/>
      <c r="O3" s="689"/>
      <c r="P3" s="687"/>
      <c r="Q3" s="687"/>
      <c r="R3" s="689"/>
      <c r="S3" s="689"/>
      <c r="T3" s="689"/>
      <c r="U3" s="687"/>
      <c r="V3" s="688"/>
      <c r="W3" s="688"/>
      <c r="X3" s="687"/>
      <c r="Y3" s="688"/>
      <c r="Z3" s="687"/>
      <c r="AA3" s="690"/>
      <c r="AB3" s="553"/>
      <c r="AC3" s="553"/>
      <c r="AD3" s="553"/>
      <c r="AE3" s="553"/>
      <c r="AF3" s="553"/>
      <c r="AG3" s="553"/>
      <c r="AH3" s="553"/>
      <c r="AI3" s="553"/>
      <c r="AJ3" s="553"/>
      <c r="AK3" s="553"/>
      <c r="AL3" s="553"/>
      <c r="AM3" s="553"/>
      <c r="AN3" s="553"/>
      <c r="AO3" s="553"/>
      <c r="AP3" s="553"/>
      <c r="AQ3" s="553"/>
      <c r="AR3" s="553"/>
      <c r="AS3" s="553" t="s">
        <v>473</v>
      </c>
      <c r="AT3" s="553"/>
      <c r="AU3" s="553"/>
      <c r="AV3" s="553"/>
      <c r="AW3" s="553"/>
      <c r="AX3" s="553"/>
      <c r="AY3" s="553"/>
      <c r="AZ3" s="553"/>
      <c r="BA3" s="553" t="s">
        <v>483</v>
      </c>
      <c r="BB3" s="553"/>
      <c r="BC3" s="553"/>
      <c r="BD3" s="579" t="s">
        <v>484</v>
      </c>
      <c r="BE3" s="553"/>
      <c r="BF3" s="553"/>
      <c r="BG3" s="579" t="s">
        <v>508</v>
      </c>
      <c r="BH3" s="553"/>
      <c r="BI3" s="553"/>
      <c r="BJ3" s="553"/>
      <c r="BK3" s="553"/>
      <c r="BL3" s="553"/>
      <c r="BM3" s="579" t="s">
        <v>504</v>
      </c>
      <c r="BN3" s="553"/>
      <c r="BO3" s="553"/>
      <c r="BP3" s="553"/>
      <c r="BQ3" s="580" t="s">
        <v>505</v>
      </c>
      <c r="BR3" s="553"/>
      <c r="BS3" s="553"/>
      <c r="BT3" s="553"/>
      <c r="BU3" s="553"/>
      <c r="BV3" s="579"/>
      <c r="BW3" s="553"/>
      <c r="BX3" s="553"/>
      <c r="BY3" s="553"/>
      <c r="BZ3" s="553"/>
    </row>
    <row r="4" spans="2:81" ht="45" customHeight="1" thickBot="1" x14ac:dyDescent="0.25">
      <c r="E4" s="249" t="s">
        <v>25</v>
      </c>
      <c r="F4" s="457" t="s">
        <v>195</v>
      </c>
      <c r="G4" s="268"/>
      <c r="H4" s="547" t="s">
        <v>224</v>
      </c>
      <c r="I4" s="250" t="s">
        <v>425</v>
      </c>
      <c r="J4" s="251" t="s">
        <v>431</v>
      </c>
      <c r="K4" s="547" t="s">
        <v>426</v>
      </c>
      <c r="L4" s="547"/>
      <c r="M4" s="252" t="s">
        <v>48</v>
      </c>
      <c r="N4" s="547" t="s">
        <v>415</v>
      </c>
      <c r="O4" s="547" t="s">
        <v>687</v>
      </c>
      <c r="P4" s="547" t="s">
        <v>416</v>
      </c>
      <c r="Q4" s="547" t="s">
        <v>446</v>
      </c>
      <c r="R4" s="547" t="s">
        <v>685</v>
      </c>
      <c r="S4" s="547" t="s">
        <v>688</v>
      </c>
      <c r="T4" s="547" t="s">
        <v>686</v>
      </c>
      <c r="U4" s="547" t="s">
        <v>427</v>
      </c>
      <c r="V4" s="547" t="s">
        <v>479</v>
      </c>
      <c r="W4" s="547" t="s">
        <v>478</v>
      </c>
      <c r="X4" s="567" t="s">
        <v>433</v>
      </c>
      <c r="Y4" s="562" t="s">
        <v>438</v>
      </c>
      <c r="AA4" s="253" t="s">
        <v>430</v>
      </c>
      <c r="AB4" s="253" t="s">
        <v>477</v>
      </c>
      <c r="AC4" s="253" t="s">
        <v>436</v>
      </c>
      <c r="AD4" s="564"/>
      <c r="AE4" s="253" t="s">
        <v>476</v>
      </c>
      <c r="AF4" s="253" t="s">
        <v>439</v>
      </c>
      <c r="AG4" s="253" t="s">
        <v>440</v>
      </c>
      <c r="AH4" s="564"/>
      <c r="AI4" s="253" t="s">
        <v>442</v>
      </c>
      <c r="AJ4" s="568" t="s">
        <v>443</v>
      </c>
      <c r="AK4" s="568" t="s">
        <v>444</v>
      </c>
      <c r="AM4" s="563" t="s">
        <v>276</v>
      </c>
      <c r="AN4" s="563" t="s">
        <v>445</v>
      </c>
      <c r="AP4" s="253" t="s">
        <v>276</v>
      </c>
      <c r="AQ4" s="253" t="s">
        <v>445</v>
      </c>
      <c r="AR4" s="569"/>
      <c r="AS4" s="253" t="s">
        <v>480</v>
      </c>
      <c r="AT4" s="253" t="s">
        <v>474</v>
      </c>
      <c r="AU4" s="253" t="s">
        <v>475</v>
      </c>
      <c r="AV4" s="253" t="s">
        <v>684</v>
      </c>
      <c r="AW4" s="253" t="s">
        <v>48</v>
      </c>
      <c r="AX4" s="569" t="s">
        <v>682</v>
      </c>
      <c r="AY4" s="564" t="s">
        <v>681</v>
      </c>
      <c r="AZ4" s="564" t="s">
        <v>683</v>
      </c>
      <c r="BA4" s="253" t="s">
        <v>495</v>
      </c>
      <c r="BB4" s="253" t="s">
        <v>531</v>
      </c>
      <c r="BC4" s="564"/>
      <c r="BD4" s="578" t="s">
        <v>469</v>
      </c>
      <c r="BE4" s="253" t="s">
        <v>470</v>
      </c>
      <c r="BF4" s="564"/>
      <c r="BG4" s="578" t="s">
        <v>487</v>
      </c>
      <c r="BH4" s="253" t="s">
        <v>488</v>
      </c>
      <c r="BI4" s="253" t="s">
        <v>486</v>
      </c>
      <c r="BJ4" s="253" t="s">
        <v>482</v>
      </c>
      <c r="BK4" s="253" t="s">
        <v>491</v>
      </c>
      <c r="BL4" s="253" t="s">
        <v>506</v>
      </c>
      <c r="BM4" s="578" t="s">
        <v>489</v>
      </c>
      <c r="BN4" s="253" t="s">
        <v>490</v>
      </c>
      <c r="BO4" s="253" t="s">
        <v>498</v>
      </c>
      <c r="BP4" s="253" t="s">
        <v>502</v>
      </c>
      <c r="BQ4" s="578" t="s">
        <v>471</v>
      </c>
      <c r="BR4" s="253" t="s">
        <v>472</v>
      </c>
      <c r="BS4" s="253" t="s">
        <v>481</v>
      </c>
      <c r="BT4" s="253" t="s">
        <v>499</v>
      </c>
      <c r="BU4" s="253" t="s">
        <v>501</v>
      </c>
      <c r="BV4" s="578" t="s">
        <v>497</v>
      </c>
      <c r="BW4" s="253" t="s">
        <v>224</v>
      </c>
      <c r="BX4" s="253" t="s">
        <v>47</v>
      </c>
      <c r="BY4" s="253" t="s">
        <v>500</v>
      </c>
      <c r="BZ4" s="253"/>
      <c r="CB4" s="591" t="s">
        <v>698</v>
      </c>
      <c r="CC4" s="591" t="s">
        <v>699</v>
      </c>
    </row>
    <row r="5" spans="2:81" x14ac:dyDescent="0.2">
      <c r="E5" s="178">
        <v>0.1</v>
      </c>
      <c r="F5" s="225">
        <v>1.0000000000000001E-9</v>
      </c>
      <c r="G5" s="225"/>
      <c r="H5" s="225">
        <f t="shared" ref="H5:H36" si="0">F5*Vout</f>
        <v>1.5000000000000002E-8</v>
      </c>
      <c r="I5" s="561">
        <f t="shared" ref="I5:I36" si="1">Vin</f>
        <v>12</v>
      </c>
      <c r="J5" s="180">
        <f t="shared" ref="J5:J36" si="2">(T5+Vfwd1)*Nps</f>
        <v>15.25</v>
      </c>
      <c r="K5" s="456">
        <f t="shared" ref="K5:K36" si="3">(Vout+Vfwd1)*Nps+I5</f>
        <v>27.25</v>
      </c>
      <c r="L5" s="456"/>
      <c r="M5" s="225">
        <f t="shared" ref="M5:M36" si="4">(Vout+Vfwd1)*Nps/((Vout+Vfwd1)*Nps+I5)</f>
        <v>0.55963302752293576</v>
      </c>
      <c r="N5" s="180">
        <f t="shared" ref="N5:N68" si="5">M5*I5*Isw_max*0.5*Efficiency</f>
        <v>4.3819266055045869</v>
      </c>
      <c r="O5" s="180">
        <f>T5*F5</f>
        <v>1.5000000000000002E-8</v>
      </c>
      <c r="P5" s="225">
        <f t="shared" ref="P5:P36" si="6">N5/Vout</f>
        <v>0.29212844036697244</v>
      </c>
      <c r="Q5" s="225">
        <f t="shared" ref="Q5:Q36" si="7">MIN(Vout,N5/F5)</f>
        <v>15</v>
      </c>
      <c r="R5" s="225">
        <f t="shared" ref="R5:R36" si="8">Isw_max/2*I5*Nps*(Q5+Vfwd1)/Q5/(I5+Nps*(Q5+Vfwd1))</f>
        <v>0.32458715596330273</v>
      </c>
      <c r="S5" s="180">
        <f t="shared" ref="S5:S36" si="9">(SQRT(Isw_max^2*Nps^2*I5^2+4*Isw_max*F5/Efficiency*(Nps^2*Vfwd1*I5-Nps*I5^2)+4*(F5/Efficiency)^2*Nps^2*Vfwd1^2+8*(F5/Efficiency)^2*Nps*Vfwd1*I5+4*(F5/Efficiency)^2*I5^2)-2*F5/Efficiency*I5-2*F5/Efficiency*Nps*Vfwd1+Isw_max*Nps*I5)/(4*F5/Efficiency*Nps)</f>
        <v>7829999988</v>
      </c>
      <c r="T5" s="180">
        <f t="shared" ref="T5:T36" si="10">MIN(Vout, S5)</f>
        <v>15</v>
      </c>
      <c r="U5" s="225">
        <f t="shared" ref="U5:U36" si="11">MIN(2*Vout*F5/(Efficiency*I5*M5), Isw_max)</f>
        <v>4.9635701275045537E-9</v>
      </c>
      <c r="V5" s="225">
        <f t="shared" ref="V5:V36" si="12">L*U5/I5*1000000</f>
        <v>1.6545233758348513E-8</v>
      </c>
      <c r="W5" s="225">
        <f t="shared" ref="W5:W36" si="13">L*U5/J5*1000000</f>
        <v>1.3019200334438174E-8</v>
      </c>
      <c r="X5" s="205">
        <f t="shared" ref="X5:X36" si="14">IF(1/((350000*L)*(1/I5+1/J5))&gt;Isw_min, 350, 0.001/((Isw_min*L)*(1/I5+1/J5)))</f>
        <v>350</v>
      </c>
      <c r="Y5" s="456">
        <f>MIN(1/(V5+W5)*1000, 350)</f>
        <v>350</v>
      </c>
      <c r="AA5" s="225">
        <f t="shared" ref="AA5:AA36" si="15">1/((X5*1000*L)*(1/I5+1/J5))</f>
        <v>0.47968545216251629</v>
      </c>
      <c r="AB5" s="181">
        <f t="shared" ref="AB5:AB36" si="16">L*AA5/J5*1000000</f>
        <v>1.258191349934469</v>
      </c>
      <c r="AC5" s="181">
        <f t="shared" ref="AC5:AC36" si="17">0.5*AB5*AA5*Nps*X5/1000</f>
        <v>0.10561881515504945</v>
      </c>
      <c r="AD5" s="181"/>
      <c r="AE5" s="181">
        <f t="shared" ref="AE5:AE36" si="18">L*Isw_min/J5*1000000</f>
        <v>0.76065573770491812</v>
      </c>
      <c r="AF5" s="565">
        <f>MAX(10, F5/(0.5*AE5/1000000*Isw_min*Nps)/1000)</f>
        <v>10</v>
      </c>
      <c r="AG5" s="548">
        <f t="shared" ref="AG5:AG36" si="19">0.5*AE5/1000000*Isw_min*Nps*X5*1000</f>
        <v>3.8603278688524589E-2</v>
      </c>
      <c r="AI5" s="181">
        <f t="shared" ref="AI5:AI36" si="20">SQRT(F5/Efficiency/(0.5*L/J5*Fsw_DCM*Nps))</f>
        <v>4.9199948380409104E-5</v>
      </c>
      <c r="AJ5" s="181">
        <f t="shared" ref="AJ5:AJ36" si="21">MAX(IF(F5&gt;AC5,U5,AI5),Isw_min)</f>
        <v>0.28999999999999998</v>
      </c>
      <c r="AK5" s="181">
        <f t="shared" ref="AK5:AK36" si="22">IF(F5&gt;AG5, (AJ5-Isw_min)/1.08*0.8+1.2, AF5*0.2/350+1)</f>
        <v>1.0057142857142858</v>
      </c>
      <c r="AM5" s="565">
        <f t="shared" ref="AM5:AM36" si="23">F5*1000</f>
        <v>1.0000000000000002E-6</v>
      </c>
      <c r="AN5" s="474">
        <f t="shared" ref="AN5:AN36" si="24">IF(F5&gt;AG5, Y5, AF5)</f>
        <v>10</v>
      </c>
      <c r="AP5">
        <f t="shared" ref="AP5:AP36" si="25">IF(H5&gt;N5, "",AM5)</f>
        <v>1.0000000000000002E-6</v>
      </c>
      <c r="AQ5" s="474">
        <f t="shared" ref="AQ5:AQ36" si="26">IF(H5&gt;N5, "",AN5)</f>
        <v>10</v>
      </c>
      <c r="AR5" s="474"/>
      <c r="AS5" s="6">
        <f>1/AN5*1000</f>
        <v>100</v>
      </c>
      <c r="AT5" s="6">
        <f t="shared" ref="AT5:AT36" si="27">L*AJ5/I5*1000000</f>
        <v>0.96666666666666679</v>
      </c>
      <c r="AU5" s="6">
        <f>AS5-AT5</f>
        <v>99.033333333333331</v>
      </c>
      <c r="AV5" s="6">
        <f t="shared" ref="AV5:AV36" si="28">L*AJ5/J5*1000000</f>
        <v>0.76065573770491812</v>
      </c>
      <c r="AW5" s="181">
        <f>AT5/AS5</f>
        <v>9.6666666666666672E-3</v>
      </c>
      <c r="AX5" s="181">
        <f t="shared" ref="AX5:AX36" si="29">0.5*L*AJ5^2*AN5*1000</f>
        <v>1.6819999999999998E-2</v>
      </c>
      <c r="AY5" s="181">
        <f t="shared" ref="AY5:AY36" si="30">AJ5*Nps/2*(1-AW5)</f>
        <v>0.14359833333333333</v>
      </c>
      <c r="AZ5" s="181">
        <f>AX5/AY5</f>
        <v>0.1171322786940424</v>
      </c>
      <c r="BA5" s="474">
        <f t="shared" ref="BA5:BA36" si="31">F5*AT5/Vout_ripple*1000</f>
        <v>6.4444444444444456E-9</v>
      </c>
      <c r="BB5" s="6">
        <f t="shared" ref="BB5:BB36" si="32">H5/Efficiency/I5*AU5/Vinripple1</f>
        <v>2.2924382716049381E-7</v>
      </c>
      <c r="BC5" s="6"/>
      <c r="BD5" s="181">
        <f>AJ5*SQRT(AW5/3)</f>
        <v>1.6461740153728855E-2</v>
      </c>
      <c r="BE5" s="181">
        <f t="shared" ref="BE5:BE36" si="33">AJ5*Nps*SQRT((1-AW5)/3)</f>
        <v>0.16662036023380947</v>
      </c>
      <c r="BF5" s="181"/>
      <c r="BG5" s="548">
        <f t="shared" ref="BG5:BG36" si="34">Rdson*BD5^2</f>
        <v>9.4846111111111122E-5</v>
      </c>
      <c r="BH5" s="548">
        <f t="shared" ref="BH5:BH36" si="35">0.5*K5*AJ5*AN5*1000*Trise</f>
        <v>7.9025000000000005E-4</v>
      </c>
      <c r="BI5" s="548">
        <f t="shared" ref="BI5:BI36" si="36">Qg*Vdd*AN5*1000</f>
        <v>1.25E-4</v>
      </c>
      <c r="BJ5" s="548">
        <f t="shared" ref="BJ5:BJ36" si="37">0.5*(Coss+Csw)*K5^2*AN5*1000</f>
        <v>4.2697343750000002E-4</v>
      </c>
      <c r="BK5">
        <f t="shared" ref="BK5:BK36" si="38">I5*IQ</f>
        <v>3.48E-3</v>
      </c>
      <c r="BL5" s="474">
        <f>SUM(BG5:BK5)*1000</f>
        <v>4.9170695486111109</v>
      </c>
      <c r="BM5" s="548">
        <f>Vfwd2*F5</f>
        <v>3.4999999999999998E-10</v>
      </c>
      <c r="BN5" s="548"/>
      <c r="BP5" s="474">
        <f>SUM(BM5:BO5)*1000</f>
        <v>3.4999999999999998E-7</v>
      </c>
      <c r="BQ5" s="548">
        <f t="shared" ref="BQ5:BQ36" si="39">Rdcr_pri*BD5^2</f>
        <v>0</v>
      </c>
      <c r="BR5" s="548">
        <f t="shared" ref="BR5:BR36" si="40">Rdcr_sec*BE5^2</f>
        <v>0</v>
      </c>
      <c r="BS5" s="548">
        <f t="shared" ref="BS5:BS36" si="41">AJ5^2.5*AN5^2.5*k_core</f>
        <v>7.1608569668720578E-7</v>
      </c>
      <c r="BT5" s="548">
        <f t="shared" ref="BT5:BT36" si="42">0.5*Lleak*0.000000001*AJ5^2*AN5*1000</f>
        <v>8.8305000000000002E-4</v>
      </c>
      <c r="BU5" s="474">
        <f>SUM(BQ5:BT5)*1000</f>
        <v>0.88376608569668713</v>
      </c>
      <c r="BV5" s="181">
        <f>SUM(BG5:BK5,BM5:BO5,BQ5:BT5)</f>
        <v>5.8008359843077983E-3</v>
      </c>
      <c r="BW5" s="6">
        <f>MIN(H5,O5)</f>
        <v>1.5000000000000002E-8</v>
      </c>
      <c r="BX5" s="181">
        <f>BW5/(BW5+BV5)</f>
        <v>2.5858275002370046E-6</v>
      </c>
      <c r="BY5" s="6">
        <f>BX5*100</f>
        <v>2.5858275002370047E-4</v>
      </c>
      <c r="CB5" s="583">
        <f t="shared" ref="CB5:CB36" si="43">IF(ABS(F5-Ioutmax_Vinnom)&lt;Iout/200, AN5, -50)</f>
        <v>-50</v>
      </c>
      <c r="CC5">
        <f t="shared" ref="CC5:CC36" si="44">IF(ABS(F5-Ioutmax_Vinnom)&lt;Iout/200, N5*BX5, -50)</f>
        <v>-50</v>
      </c>
    </row>
    <row r="6" spans="2:81" x14ac:dyDescent="0.2">
      <c r="E6" s="178">
        <v>1</v>
      </c>
      <c r="F6" s="225">
        <f t="shared" ref="F6:F37" si="45">IF(PLOT_TYPE=1, E6/100*Iout_max, min_I*EXP(N6*rr/100))</f>
        <v>3.0000000000000001E-3</v>
      </c>
      <c r="G6" s="225"/>
      <c r="H6" s="225">
        <f t="shared" si="0"/>
        <v>4.4999999999999998E-2</v>
      </c>
      <c r="I6" s="561">
        <f t="shared" si="1"/>
        <v>12</v>
      </c>
      <c r="J6" s="180">
        <f t="shared" si="2"/>
        <v>15.25</v>
      </c>
      <c r="K6" s="456">
        <f t="shared" si="3"/>
        <v>27.25</v>
      </c>
      <c r="L6" s="456"/>
      <c r="M6" s="225">
        <f t="shared" si="4"/>
        <v>0.55963302752293576</v>
      </c>
      <c r="N6" s="180">
        <f t="shared" si="5"/>
        <v>4.3819266055045869</v>
      </c>
      <c r="O6" s="180">
        <f t="shared" ref="O6:O69" si="46">T6*F6</f>
        <v>4.4999999999999998E-2</v>
      </c>
      <c r="P6" s="225">
        <f t="shared" si="6"/>
        <v>0.29212844036697244</v>
      </c>
      <c r="Q6" s="225">
        <f t="shared" si="7"/>
        <v>15</v>
      </c>
      <c r="R6" s="225">
        <f t="shared" si="8"/>
        <v>0.32458715596330273</v>
      </c>
      <c r="S6" s="180">
        <f t="shared" si="9"/>
        <v>2598.0011546227911</v>
      </c>
      <c r="T6" s="180">
        <f t="shared" si="10"/>
        <v>15</v>
      </c>
      <c r="U6" s="225">
        <f t="shared" si="11"/>
        <v>1.4890710382513659E-2</v>
      </c>
      <c r="V6" s="225">
        <f t="shared" si="12"/>
        <v>4.9635701275045539E-2</v>
      </c>
      <c r="W6" s="225">
        <f t="shared" si="13"/>
        <v>3.905760100331452E-2</v>
      </c>
      <c r="X6" s="205">
        <f t="shared" si="14"/>
        <v>350</v>
      </c>
      <c r="Y6" s="456">
        <f t="shared" ref="Y6:Y69" si="47">MIN(1/(V6+W6)*1000, 350)</f>
        <v>350</v>
      </c>
      <c r="AA6" s="225">
        <f t="shared" si="15"/>
        <v>0.47968545216251629</v>
      </c>
      <c r="AB6" s="181">
        <f t="shared" si="16"/>
        <v>1.258191349934469</v>
      </c>
      <c r="AC6" s="181">
        <f t="shared" si="17"/>
        <v>0.10561881515504945</v>
      </c>
      <c r="AD6" s="181"/>
      <c r="AE6" s="181">
        <f t="shared" si="18"/>
        <v>0.76065573770491812</v>
      </c>
      <c r="AF6" s="565">
        <f>MAX(10, F6/(0.5*AE6/1000000*Isw_min*Nps)/1000)</f>
        <v>27.199762187871581</v>
      </c>
      <c r="AG6" s="548">
        <f t="shared" si="19"/>
        <v>3.8603278688524589E-2</v>
      </c>
      <c r="AI6" s="181">
        <f t="shared" si="20"/>
        <v>8.521681032463467E-2</v>
      </c>
      <c r="AJ6" s="181">
        <f t="shared" si="21"/>
        <v>0.28999999999999998</v>
      </c>
      <c r="AK6" s="181">
        <f t="shared" si="22"/>
        <v>1.0155427212502124</v>
      </c>
      <c r="AM6" s="565">
        <f t="shared" si="23"/>
        <v>3</v>
      </c>
      <c r="AN6" s="474">
        <f t="shared" si="24"/>
        <v>27.199762187871581</v>
      </c>
      <c r="AP6">
        <f t="shared" si="25"/>
        <v>3</v>
      </c>
      <c r="AQ6" s="474">
        <f t="shared" si="26"/>
        <v>27.199762187871581</v>
      </c>
      <c r="AR6" s="474"/>
      <c r="AS6" s="6">
        <f t="shared" ref="AS6:AS69" si="48">1/AN6*1000</f>
        <v>36.765027322404372</v>
      </c>
      <c r="AT6" s="6">
        <f t="shared" si="27"/>
        <v>0.96666666666666679</v>
      </c>
      <c r="AU6" s="6">
        <f t="shared" ref="AU6:AU69" si="49">AS6-AT6</f>
        <v>35.798360655737703</v>
      </c>
      <c r="AV6" s="6">
        <f t="shared" si="28"/>
        <v>0.76065573770491812</v>
      </c>
      <c r="AW6" s="181">
        <f t="shared" ref="AW6:AW69" si="50">AT6/AS6</f>
        <v>2.6293103448275866E-2</v>
      </c>
      <c r="AX6" s="181">
        <f t="shared" si="29"/>
        <v>4.5749999999999999E-2</v>
      </c>
      <c r="AY6" s="181">
        <f t="shared" si="30"/>
        <v>0.14118749999999999</v>
      </c>
      <c r="AZ6" s="181">
        <f t="shared" ref="AZ6:AZ69" si="51">AX6/AY6</f>
        <v>0.32403718459495351</v>
      </c>
      <c r="BA6" s="474">
        <f t="shared" si="31"/>
        <v>1.9333333333333334E-2</v>
      </c>
      <c r="BB6" s="6">
        <f t="shared" si="32"/>
        <v>0.24859972677595624</v>
      </c>
      <c r="BC6" s="6"/>
      <c r="BD6" s="181">
        <f t="shared" ref="BD6:BD69" si="52">AJ6*SQRT(AW6/3)</f>
        <v>2.714927868900633E-2</v>
      </c>
      <c r="BE6" s="181">
        <f t="shared" si="33"/>
        <v>0.16521576801262039</v>
      </c>
      <c r="BF6" s="181"/>
      <c r="BG6" s="548">
        <f t="shared" si="34"/>
        <v>2.5797916666666661E-4</v>
      </c>
      <c r="BH6" s="548">
        <f t="shared" si="35"/>
        <v>2.1494612068965521E-3</v>
      </c>
      <c r="BI6" s="548">
        <f t="shared" si="36"/>
        <v>3.3999702734839474E-4</v>
      </c>
      <c r="BJ6" s="548">
        <f t="shared" si="37"/>
        <v>1.1613575960538049E-3</v>
      </c>
      <c r="BK6">
        <f t="shared" si="38"/>
        <v>3.48E-3</v>
      </c>
      <c r="BL6" s="474">
        <f t="shared" ref="BL6:BL69" si="53">SUM(BG6:BK6)*1000</f>
        <v>7.3887949969654185</v>
      </c>
      <c r="BM6" s="548">
        <f t="shared" ref="BM6:BM36" si="54">Vfwd2*F6</f>
        <v>1.0499999999999999E-3</v>
      </c>
      <c r="BN6" s="548"/>
      <c r="BP6" s="474">
        <f t="shared" ref="BP6:BP69" si="55">SUM(BM6:BO6)*1000</f>
        <v>1.05</v>
      </c>
      <c r="BQ6" s="548">
        <f t="shared" si="39"/>
        <v>0</v>
      </c>
      <c r="BR6" s="548">
        <f t="shared" si="40"/>
        <v>0</v>
      </c>
      <c r="BS6" s="548">
        <f t="shared" si="41"/>
        <v>8.7373104359560088E-6</v>
      </c>
      <c r="BT6" s="548">
        <f t="shared" si="42"/>
        <v>2.4018750000000004E-3</v>
      </c>
      <c r="BU6" s="474">
        <f t="shared" ref="BU6:BU69" si="56">SUM(BQ6:BT6)*1000</f>
        <v>2.4106123104359565</v>
      </c>
      <c r="BV6" s="181">
        <f t="shared" ref="BV6:BV69" si="57">SUM(BG6:BK6,BM6:BO6,BQ6:BT6)</f>
        <v>1.0849407307401377E-2</v>
      </c>
      <c r="BW6" s="6">
        <f t="shared" ref="BW6:BW69" si="58">MIN(H6,O6)</f>
        <v>4.4999999999999998E-2</v>
      </c>
      <c r="BX6" s="181">
        <f t="shared" ref="BX6:BX69" si="59">BW6/(BW6+BV6)</f>
        <v>0.80573818361786675</v>
      </c>
      <c r="BY6" s="6">
        <f t="shared" ref="BY6:BY69" si="60">BX6*100</f>
        <v>80.573818361786678</v>
      </c>
      <c r="CB6" s="583">
        <f t="shared" si="43"/>
        <v>-50</v>
      </c>
      <c r="CC6">
        <f t="shared" si="44"/>
        <v>-50</v>
      </c>
    </row>
    <row r="7" spans="2:81" x14ac:dyDescent="0.2">
      <c r="E7" s="178">
        <v>2</v>
      </c>
      <c r="F7" s="225">
        <f t="shared" si="45"/>
        <v>6.0000000000000001E-3</v>
      </c>
      <c r="G7" s="225"/>
      <c r="H7" s="225">
        <f t="shared" si="0"/>
        <v>0.09</v>
      </c>
      <c r="I7" s="561">
        <f t="shared" si="1"/>
        <v>12</v>
      </c>
      <c r="J7" s="180">
        <f t="shared" si="2"/>
        <v>15.25</v>
      </c>
      <c r="K7" s="456">
        <f t="shared" si="3"/>
        <v>27.25</v>
      </c>
      <c r="L7" s="456"/>
      <c r="M7" s="225">
        <f t="shared" si="4"/>
        <v>0.55963302752293576</v>
      </c>
      <c r="N7" s="180">
        <f t="shared" si="5"/>
        <v>4.3819266055045869</v>
      </c>
      <c r="O7" s="180">
        <f t="shared" si="46"/>
        <v>0.09</v>
      </c>
      <c r="P7" s="225">
        <f t="shared" si="6"/>
        <v>0.29212844036697244</v>
      </c>
      <c r="Q7" s="225">
        <f t="shared" si="7"/>
        <v>15</v>
      </c>
      <c r="R7" s="225">
        <f t="shared" si="8"/>
        <v>0.32458715596330273</v>
      </c>
      <c r="S7" s="180">
        <f t="shared" si="9"/>
        <v>1293.0023197329356</v>
      </c>
      <c r="T7" s="180">
        <f t="shared" si="10"/>
        <v>15</v>
      </c>
      <c r="U7" s="225">
        <f t="shared" si="11"/>
        <v>2.9781420765027319E-2</v>
      </c>
      <c r="V7" s="225">
        <f t="shared" si="12"/>
        <v>9.9271402550091078E-2</v>
      </c>
      <c r="W7" s="225">
        <f t="shared" si="13"/>
        <v>7.8115202006629039E-2</v>
      </c>
      <c r="X7" s="205">
        <f t="shared" si="14"/>
        <v>350</v>
      </c>
      <c r="Y7" s="456">
        <f t="shared" si="47"/>
        <v>350</v>
      </c>
      <c r="AA7" s="225">
        <f t="shared" si="15"/>
        <v>0.47968545216251629</v>
      </c>
      <c r="AB7" s="181">
        <f t="shared" si="16"/>
        <v>1.258191349934469</v>
      </c>
      <c r="AC7" s="181">
        <f t="shared" si="17"/>
        <v>0.10561881515504945</v>
      </c>
      <c r="AD7" s="181"/>
      <c r="AE7" s="181">
        <f t="shared" si="18"/>
        <v>0.76065573770491812</v>
      </c>
      <c r="AF7" s="565">
        <f>MAX(10, F7/(0.5*AE7/1000000*Isw_min*Nps)/1000)</f>
        <v>54.399524375743162</v>
      </c>
      <c r="AG7" s="548">
        <f t="shared" si="19"/>
        <v>3.8603278688524589E-2</v>
      </c>
      <c r="AI7" s="181">
        <f t="shared" si="20"/>
        <v>0.12051476890327394</v>
      </c>
      <c r="AJ7" s="181">
        <f t="shared" si="21"/>
        <v>0.28999999999999998</v>
      </c>
      <c r="AK7" s="181">
        <f t="shared" si="22"/>
        <v>1.0310854425004248</v>
      </c>
      <c r="AM7" s="565">
        <f t="shared" si="23"/>
        <v>6</v>
      </c>
      <c r="AN7" s="474">
        <f t="shared" si="24"/>
        <v>54.399524375743162</v>
      </c>
      <c r="AP7">
        <f t="shared" si="25"/>
        <v>6</v>
      </c>
      <c r="AQ7" s="474">
        <f t="shared" si="26"/>
        <v>54.399524375743162</v>
      </c>
      <c r="AR7" s="474"/>
      <c r="AS7" s="6">
        <f t="shared" si="48"/>
        <v>18.382513661202186</v>
      </c>
      <c r="AT7" s="6">
        <f t="shared" si="27"/>
        <v>0.96666666666666679</v>
      </c>
      <c r="AU7" s="6">
        <f t="shared" si="49"/>
        <v>17.415846994535521</v>
      </c>
      <c r="AV7" s="6">
        <f t="shared" si="28"/>
        <v>0.76065573770491812</v>
      </c>
      <c r="AW7" s="181">
        <f t="shared" si="50"/>
        <v>5.2586206896551732E-2</v>
      </c>
      <c r="AX7" s="181">
        <f t="shared" si="29"/>
        <v>9.1499999999999998E-2</v>
      </c>
      <c r="AY7" s="181">
        <f t="shared" si="30"/>
        <v>0.137375</v>
      </c>
      <c r="AZ7" s="181">
        <f t="shared" si="51"/>
        <v>0.66606005459508644</v>
      </c>
      <c r="BA7" s="474">
        <f t="shared" si="31"/>
        <v>3.8666666666666669E-2</v>
      </c>
      <c r="BB7" s="6">
        <f t="shared" si="32"/>
        <v>0.24188676381299332</v>
      </c>
      <c r="BC7" s="6"/>
      <c r="BD7" s="181">
        <f t="shared" si="52"/>
        <v>3.8394878130639597E-2</v>
      </c>
      <c r="BE7" s="181">
        <f t="shared" si="33"/>
        <v>0.16296983360937284</v>
      </c>
      <c r="BF7" s="181"/>
      <c r="BG7" s="548">
        <f t="shared" si="34"/>
        <v>5.1595833333333333E-4</v>
      </c>
      <c r="BH7" s="548">
        <f t="shared" si="35"/>
        <v>4.2989224137931041E-3</v>
      </c>
      <c r="BI7" s="548">
        <f t="shared" si="36"/>
        <v>6.7999405469678948E-4</v>
      </c>
      <c r="BJ7" s="548">
        <f t="shared" si="37"/>
        <v>2.3227151921076097E-3</v>
      </c>
      <c r="BK7">
        <f t="shared" si="38"/>
        <v>3.48E-3</v>
      </c>
      <c r="BL7" s="474">
        <f t="shared" si="53"/>
        <v>11.297589993930837</v>
      </c>
      <c r="BM7" s="548">
        <f t="shared" si="54"/>
        <v>2.0999999999999999E-3</v>
      </c>
      <c r="BN7" s="548"/>
      <c r="BP7" s="474">
        <f t="shared" si="55"/>
        <v>2.1</v>
      </c>
      <c r="BQ7" s="548">
        <f t="shared" si="39"/>
        <v>0</v>
      </c>
      <c r="BR7" s="548">
        <f t="shared" si="40"/>
        <v>0</v>
      </c>
      <c r="BS7" s="548">
        <f t="shared" si="41"/>
        <v>4.9425691668771833E-5</v>
      </c>
      <c r="BT7" s="548">
        <f t="shared" si="42"/>
        <v>4.8037500000000007E-3</v>
      </c>
      <c r="BU7" s="474">
        <f t="shared" si="56"/>
        <v>4.8531756916687732</v>
      </c>
      <c r="BV7" s="181">
        <f t="shared" si="57"/>
        <v>1.8250765685599607E-2</v>
      </c>
      <c r="BW7" s="6">
        <f t="shared" si="58"/>
        <v>0.09</v>
      </c>
      <c r="BX7" s="181">
        <f t="shared" si="59"/>
        <v>0.83140289521270816</v>
      </c>
      <c r="BY7" s="6">
        <f t="shared" si="60"/>
        <v>83.140289521270816</v>
      </c>
      <c r="CB7" s="583">
        <f t="shared" si="43"/>
        <v>-50</v>
      </c>
      <c r="CC7">
        <f t="shared" si="44"/>
        <v>-50</v>
      </c>
    </row>
    <row r="8" spans="2:81" x14ac:dyDescent="0.2">
      <c r="E8" s="178">
        <v>3</v>
      </c>
      <c r="F8" s="225">
        <f t="shared" si="45"/>
        <v>8.9999999999999993E-3</v>
      </c>
      <c r="G8" s="225"/>
      <c r="H8" s="225">
        <f t="shared" si="0"/>
        <v>0.13499999999999998</v>
      </c>
      <c r="I8" s="561">
        <f t="shared" si="1"/>
        <v>12</v>
      </c>
      <c r="J8" s="180">
        <f t="shared" si="2"/>
        <v>15.25</v>
      </c>
      <c r="K8" s="456">
        <f t="shared" si="3"/>
        <v>27.25</v>
      </c>
      <c r="L8" s="456"/>
      <c r="M8" s="225">
        <f t="shared" si="4"/>
        <v>0.55963302752293576</v>
      </c>
      <c r="N8" s="180">
        <f t="shared" si="5"/>
        <v>4.3819266055045869</v>
      </c>
      <c r="O8" s="180">
        <f t="shared" si="46"/>
        <v>0.13499999999999998</v>
      </c>
      <c r="P8" s="225">
        <f t="shared" si="6"/>
        <v>0.29212844036697244</v>
      </c>
      <c r="Q8" s="225">
        <f t="shared" si="7"/>
        <v>15</v>
      </c>
      <c r="R8" s="225">
        <f t="shared" si="8"/>
        <v>0.32458715596330273</v>
      </c>
      <c r="S8" s="180">
        <f t="shared" si="9"/>
        <v>858.00349547076235</v>
      </c>
      <c r="T8" s="180">
        <f t="shared" si="10"/>
        <v>15</v>
      </c>
      <c r="U8" s="225">
        <f t="shared" si="11"/>
        <v>4.4672131147540976E-2</v>
      </c>
      <c r="V8" s="225">
        <f t="shared" si="12"/>
        <v>0.14890710382513658</v>
      </c>
      <c r="W8" s="225">
        <f t="shared" si="13"/>
        <v>0.11717280300994355</v>
      </c>
      <c r="X8" s="205">
        <f t="shared" si="14"/>
        <v>350</v>
      </c>
      <c r="Y8" s="456">
        <f t="shared" si="47"/>
        <v>350</v>
      </c>
      <c r="AA8" s="225">
        <f t="shared" si="15"/>
        <v>0.47968545216251629</v>
      </c>
      <c r="AB8" s="181">
        <f t="shared" si="16"/>
        <v>1.258191349934469</v>
      </c>
      <c r="AC8" s="181">
        <f t="shared" si="17"/>
        <v>0.10561881515504945</v>
      </c>
      <c r="AD8" s="181"/>
      <c r="AE8" s="181">
        <f t="shared" si="18"/>
        <v>0.76065573770491812</v>
      </c>
      <c r="AF8" s="565">
        <f t="shared" ref="AF8:AF39" si="61">MAX(10000,F8/(0.5*AE8/1000000*Isw_min*Nps))/1000</f>
        <v>81.599286563614726</v>
      </c>
      <c r="AG8" s="548">
        <f t="shared" si="19"/>
        <v>3.8603278688524589E-2</v>
      </c>
      <c r="AI8" s="181">
        <f t="shared" si="20"/>
        <v>0.14759984514122731</v>
      </c>
      <c r="AJ8" s="181">
        <f t="shared" si="21"/>
        <v>0.28999999999999998</v>
      </c>
      <c r="AK8" s="181">
        <f t="shared" si="22"/>
        <v>1.0466281637506369</v>
      </c>
      <c r="AM8" s="565">
        <f t="shared" si="23"/>
        <v>9</v>
      </c>
      <c r="AN8" s="474">
        <f t="shared" si="24"/>
        <v>81.599286563614726</v>
      </c>
      <c r="AP8">
        <f t="shared" si="25"/>
        <v>9</v>
      </c>
      <c r="AQ8" s="474">
        <f t="shared" si="26"/>
        <v>81.599286563614726</v>
      </c>
      <c r="AR8" s="474"/>
      <c r="AS8" s="6">
        <f t="shared" si="48"/>
        <v>12.255009107468128</v>
      </c>
      <c r="AT8" s="6">
        <f t="shared" si="27"/>
        <v>0.96666666666666679</v>
      </c>
      <c r="AU8" s="6">
        <f t="shared" si="49"/>
        <v>11.288342440801461</v>
      </c>
      <c r="AV8" s="6">
        <f t="shared" si="28"/>
        <v>0.76065573770491812</v>
      </c>
      <c r="AW8" s="181">
        <f t="shared" si="50"/>
        <v>7.8879310344827563E-2</v>
      </c>
      <c r="AX8" s="181">
        <f t="shared" si="29"/>
        <v>0.13724999999999998</v>
      </c>
      <c r="AY8" s="181">
        <f t="shared" si="30"/>
        <v>0.1335625</v>
      </c>
      <c r="AZ8" s="181">
        <f t="shared" si="51"/>
        <v>1.0276087973795038</v>
      </c>
      <c r="BA8" s="474">
        <f t="shared" si="31"/>
        <v>5.800000000000001E-2</v>
      </c>
      <c r="BB8" s="6">
        <f t="shared" si="32"/>
        <v>0.23517380085003034</v>
      </c>
      <c r="BC8" s="6"/>
      <c r="BD8" s="181">
        <f t="shared" si="52"/>
        <v>4.7023930078205912E-2</v>
      </c>
      <c r="BE8" s="181">
        <f t="shared" si="33"/>
        <v>0.16069251175251861</v>
      </c>
      <c r="BF8" s="181"/>
      <c r="BG8" s="548">
        <f t="shared" si="34"/>
        <v>7.7393749999999956E-4</v>
      </c>
      <c r="BH8" s="548">
        <f t="shared" si="35"/>
        <v>6.4483836206896536E-3</v>
      </c>
      <c r="BI8" s="548">
        <f t="shared" si="36"/>
        <v>1.0199910820451838E-3</v>
      </c>
      <c r="BJ8" s="548">
        <f t="shared" si="37"/>
        <v>3.4840727881614141E-3</v>
      </c>
      <c r="BK8">
        <f t="shared" si="38"/>
        <v>3.48E-3</v>
      </c>
      <c r="BL8" s="474">
        <f t="shared" si="53"/>
        <v>15.206384990896252</v>
      </c>
      <c r="BM8" s="548">
        <f t="shared" si="54"/>
        <v>3.1499999999999996E-3</v>
      </c>
      <c r="BN8" s="548"/>
      <c r="BP8" s="474">
        <f t="shared" si="55"/>
        <v>3.1499999999999995</v>
      </c>
      <c r="BQ8" s="548">
        <f t="shared" si="39"/>
        <v>0</v>
      </c>
      <c r="BR8" s="548">
        <f t="shared" si="40"/>
        <v>0</v>
      </c>
      <c r="BS8" s="548">
        <f t="shared" si="41"/>
        <v>1.3620119036919815E-4</v>
      </c>
      <c r="BT8" s="548">
        <f t="shared" si="42"/>
        <v>7.2056249999999994E-3</v>
      </c>
      <c r="BU8" s="474">
        <f t="shared" si="56"/>
        <v>7.3418261903691979</v>
      </c>
      <c r="BV8" s="181">
        <f t="shared" si="57"/>
        <v>2.5698211181265449E-2</v>
      </c>
      <c r="BW8" s="6">
        <f t="shared" si="58"/>
        <v>0.13499999999999998</v>
      </c>
      <c r="BX8" s="181">
        <f t="shared" si="59"/>
        <v>0.84008402463000531</v>
      </c>
      <c r="BY8" s="6">
        <f t="shared" si="60"/>
        <v>84.008402463000536</v>
      </c>
      <c r="CB8" s="583">
        <f t="shared" si="43"/>
        <v>-50</v>
      </c>
      <c r="CC8">
        <f t="shared" si="44"/>
        <v>-50</v>
      </c>
    </row>
    <row r="9" spans="2:81" x14ac:dyDescent="0.2">
      <c r="E9" s="178">
        <v>4</v>
      </c>
      <c r="F9" s="225">
        <f t="shared" si="45"/>
        <v>1.2E-2</v>
      </c>
      <c r="G9" s="225"/>
      <c r="H9" s="225">
        <f t="shared" si="0"/>
        <v>0.18</v>
      </c>
      <c r="I9" s="561">
        <f t="shared" si="1"/>
        <v>12</v>
      </c>
      <c r="J9" s="180">
        <f t="shared" si="2"/>
        <v>15.25</v>
      </c>
      <c r="K9" s="456">
        <f t="shared" si="3"/>
        <v>27.25</v>
      </c>
      <c r="L9" s="456"/>
      <c r="M9" s="225">
        <f t="shared" si="4"/>
        <v>0.55963302752293576</v>
      </c>
      <c r="N9" s="180">
        <f t="shared" si="5"/>
        <v>4.3819266055045869</v>
      </c>
      <c r="O9" s="180">
        <f t="shared" si="46"/>
        <v>0.18</v>
      </c>
      <c r="P9" s="225">
        <f t="shared" si="6"/>
        <v>0.29212844036697244</v>
      </c>
      <c r="Q9" s="225">
        <f t="shared" si="7"/>
        <v>15</v>
      </c>
      <c r="R9" s="225">
        <f t="shared" si="8"/>
        <v>0.32458715596330273</v>
      </c>
      <c r="S9" s="180">
        <f t="shared" si="9"/>
        <v>640.50468197905434</v>
      </c>
      <c r="T9" s="180">
        <f t="shared" si="10"/>
        <v>15</v>
      </c>
      <c r="U9" s="225">
        <f t="shared" si="11"/>
        <v>5.9562841530054637E-2</v>
      </c>
      <c r="V9" s="225">
        <f t="shared" si="12"/>
        <v>0.19854280510018216</v>
      </c>
      <c r="W9" s="225">
        <f t="shared" si="13"/>
        <v>0.15623040401325808</v>
      </c>
      <c r="X9" s="205">
        <f t="shared" si="14"/>
        <v>350</v>
      </c>
      <c r="Y9" s="456">
        <f t="shared" si="47"/>
        <v>350</v>
      </c>
      <c r="AA9" s="225">
        <f t="shared" si="15"/>
        <v>0.47968545216251629</v>
      </c>
      <c r="AB9" s="181">
        <f t="shared" si="16"/>
        <v>1.258191349934469</v>
      </c>
      <c r="AC9" s="181">
        <f t="shared" si="17"/>
        <v>0.10561881515504945</v>
      </c>
      <c r="AD9" s="181"/>
      <c r="AE9" s="181">
        <f t="shared" si="18"/>
        <v>0.76065573770491812</v>
      </c>
      <c r="AF9" s="565">
        <f t="shared" si="61"/>
        <v>108.79904875148632</v>
      </c>
      <c r="AG9" s="548">
        <f t="shared" si="19"/>
        <v>3.8603278688524589E-2</v>
      </c>
      <c r="AI9" s="181">
        <f t="shared" si="20"/>
        <v>0.17043362064926934</v>
      </c>
      <c r="AJ9" s="181">
        <f t="shared" si="21"/>
        <v>0.28999999999999998</v>
      </c>
      <c r="AK9" s="181">
        <f t="shared" si="22"/>
        <v>1.0621708850008493</v>
      </c>
      <c r="AM9" s="565">
        <f t="shared" si="23"/>
        <v>12</v>
      </c>
      <c r="AN9" s="474">
        <f t="shared" si="24"/>
        <v>108.79904875148632</v>
      </c>
      <c r="AP9">
        <f t="shared" si="25"/>
        <v>12</v>
      </c>
      <c r="AQ9" s="474">
        <f t="shared" si="26"/>
        <v>108.79904875148632</v>
      </c>
      <c r="AR9" s="474"/>
      <c r="AS9" s="6">
        <f t="shared" si="48"/>
        <v>9.1912568306010929</v>
      </c>
      <c r="AT9" s="6">
        <f t="shared" si="27"/>
        <v>0.96666666666666679</v>
      </c>
      <c r="AU9" s="6">
        <f t="shared" si="49"/>
        <v>8.2245901639344261</v>
      </c>
      <c r="AV9" s="6">
        <f t="shared" si="28"/>
        <v>0.76065573770491812</v>
      </c>
      <c r="AW9" s="181">
        <f t="shared" si="50"/>
        <v>0.10517241379310346</v>
      </c>
      <c r="AX9" s="181">
        <f t="shared" si="29"/>
        <v>0.183</v>
      </c>
      <c r="AY9" s="181">
        <f t="shared" si="30"/>
        <v>0.12974999999999998</v>
      </c>
      <c r="AZ9" s="181">
        <f t="shared" si="51"/>
        <v>1.4104046242774568</v>
      </c>
      <c r="BA9" s="474">
        <f t="shared" si="31"/>
        <v>7.7333333333333337E-2</v>
      </c>
      <c r="BB9" s="6">
        <f t="shared" si="32"/>
        <v>0.22846083788706734</v>
      </c>
      <c r="BC9" s="6"/>
      <c r="BD9" s="181">
        <f t="shared" si="52"/>
        <v>5.429855737801266E-2</v>
      </c>
      <c r="BE9" s="181">
        <f t="shared" si="33"/>
        <v>0.15838244852255567</v>
      </c>
      <c r="BF9" s="181"/>
      <c r="BG9" s="548">
        <f t="shared" si="34"/>
        <v>1.0319166666666664E-3</v>
      </c>
      <c r="BH9" s="548">
        <f t="shared" si="35"/>
        <v>8.5978448275862082E-3</v>
      </c>
      <c r="BI9" s="548">
        <f t="shared" si="36"/>
        <v>1.359988109393579E-3</v>
      </c>
      <c r="BJ9" s="548">
        <f t="shared" si="37"/>
        <v>4.6454303842152194E-3</v>
      </c>
      <c r="BK9">
        <f t="shared" si="38"/>
        <v>3.48E-3</v>
      </c>
      <c r="BL9" s="474">
        <f t="shared" si="53"/>
        <v>19.115179987861673</v>
      </c>
      <c r="BM9" s="548">
        <f t="shared" si="54"/>
        <v>4.1999999999999997E-3</v>
      </c>
      <c r="BN9" s="548"/>
      <c r="BP9" s="474">
        <f t="shared" si="55"/>
        <v>4.2</v>
      </c>
      <c r="BQ9" s="548">
        <f t="shared" si="39"/>
        <v>0</v>
      </c>
      <c r="BR9" s="548">
        <f t="shared" si="40"/>
        <v>0</v>
      </c>
      <c r="BS9" s="548">
        <f t="shared" si="41"/>
        <v>2.7959393395059234E-4</v>
      </c>
      <c r="BT9" s="548">
        <f t="shared" si="42"/>
        <v>9.6075000000000015E-3</v>
      </c>
      <c r="BU9" s="474">
        <f t="shared" si="56"/>
        <v>9.8870939339505934</v>
      </c>
      <c r="BV9" s="181">
        <f t="shared" si="57"/>
        <v>3.320227392181227E-2</v>
      </c>
      <c r="BW9" s="6">
        <f t="shared" si="58"/>
        <v>0.18</v>
      </c>
      <c r="BX9" s="181">
        <f t="shared" si="59"/>
        <v>0.84426866885111862</v>
      </c>
      <c r="BY9" s="6">
        <f t="shared" si="60"/>
        <v>84.426866885111863</v>
      </c>
      <c r="CB9" s="583">
        <f t="shared" si="43"/>
        <v>-50</v>
      </c>
      <c r="CC9">
        <f t="shared" si="44"/>
        <v>-50</v>
      </c>
    </row>
    <row r="10" spans="2:81" x14ac:dyDescent="0.2">
      <c r="E10" s="178">
        <v>5</v>
      </c>
      <c r="F10" s="225">
        <f t="shared" si="45"/>
        <v>1.4999999999999999E-2</v>
      </c>
      <c r="G10" s="225"/>
      <c r="H10" s="225">
        <f t="shared" si="0"/>
        <v>0.22499999999999998</v>
      </c>
      <c r="I10" s="561">
        <f t="shared" si="1"/>
        <v>12</v>
      </c>
      <c r="J10" s="180">
        <f t="shared" si="2"/>
        <v>15.25</v>
      </c>
      <c r="K10" s="456">
        <f t="shared" si="3"/>
        <v>27.25</v>
      </c>
      <c r="L10" s="456"/>
      <c r="M10" s="225">
        <f t="shared" si="4"/>
        <v>0.55963302752293576</v>
      </c>
      <c r="N10" s="180">
        <f t="shared" si="5"/>
        <v>4.3819266055045869</v>
      </c>
      <c r="O10" s="180">
        <f t="shared" si="46"/>
        <v>0.22499999999999998</v>
      </c>
      <c r="P10" s="225">
        <f t="shared" si="6"/>
        <v>0.29212844036697244</v>
      </c>
      <c r="Q10" s="225">
        <f t="shared" si="7"/>
        <v>15</v>
      </c>
      <c r="R10" s="225">
        <f t="shared" si="8"/>
        <v>0.32458715596330273</v>
      </c>
      <c r="S10" s="180">
        <f t="shared" si="9"/>
        <v>510.00587940310163</v>
      </c>
      <c r="T10" s="180">
        <f t="shared" si="10"/>
        <v>15</v>
      </c>
      <c r="U10" s="225">
        <f t="shared" si="11"/>
        <v>7.4453551912568292E-2</v>
      </c>
      <c r="V10" s="225">
        <f t="shared" si="12"/>
        <v>0.24817850637522768</v>
      </c>
      <c r="W10" s="225">
        <f t="shared" si="13"/>
        <v>0.19528800501657259</v>
      </c>
      <c r="X10" s="205">
        <f t="shared" si="14"/>
        <v>350</v>
      </c>
      <c r="Y10" s="456">
        <f t="shared" si="47"/>
        <v>350</v>
      </c>
      <c r="AA10" s="225">
        <f t="shared" si="15"/>
        <v>0.47968545216251629</v>
      </c>
      <c r="AB10" s="181">
        <f t="shared" si="16"/>
        <v>1.258191349934469</v>
      </c>
      <c r="AC10" s="181">
        <f t="shared" si="17"/>
        <v>0.10561881515504945</v>
      </c>
      <c r="AD10" s="181"/>
      <c r="AE10" s="181">
        <f t="shared" si="18"/>
        <v>0.76065573770491812</v>
      </c>
      <c r="AF10" s="565">
        <f t="shared" si="61"/>
        <v>135.9988109393579</v>
      </c>
      <c r="AG10" s="548">
        <f t="shared" si="19"/>
        <v>3.8603278688524589E-2</v>
      </c>
      <c r="AI10" s="181">
        <f t="shared" si="20"/>
        <v>0.19055058071158903</v>
      </c>
      <c r="AJ10" s="181">
        <f t="shared" si="21"/>
        <v>0.28999999999999998</v>
      </c>
      <c r="AK10" s="181">
        <f t="shared" si="22"/>
        <v>1.0777136062510617</v>
      </c>
      <c r="AM10" s="565">
        <f t="shared" si="23"/>
        <v>15</v>
      </c>
      <c r="AN10" s="474">
        <f t="shared" si="24"/>
        <v>135.9988109393579</v>
      </c>
      <c r="AP10">
        <f t="shared" si="25"/>
        <v>15</v>
      </c>
      <c r="AQ10" s="474">
        <f t="shared" si="26"/>
        <v>135.9988109393579</v>
      </c>
      <c r="AR10" s="474"/>
      <c r="AS10" s="6">
        <f t="shared" si="48"/>
        <v>7.3530054644808747</v>
      </c>
      <c r="AT10" s="6">
        <f t="shared" si="27"/>
        <v>0.96666666666666679</v>
      </c>
      <c r="AU10" s="6">
        <f t="shared" si="49"/>
        <v>6.3863387978142079</v>
      </c>
      <c r="AV10" s="6">
        <f t="shared" si="28"/>
        <v>0.76065573770491812</v>
      </c>
      <c r="AW10" s="181">
        <f t="shared" si="50"/>
        <v>0.13146551724137931</v>
      </c>
      <c r="AX10" s="181">
        <f t="shared" si="29"/>
        <v>0.22874999999999998</v>
      </c>
      <c r="AY10" s="181">
        <f t="shared" si="30"/>
        <v>0.12593749999999998</v>
      </c>
      <c r="AZ10" s="181">
        <f t="shared" si="51"/>
        <v>1.8163771712158809</v>
      </c>
      <c r="BA10" s="474">
        <f t="shared" si="31"/>
        <v>9.6666666666666665E-2</v>
      </c>
      <c r="BB10" s="6">
        <f t="shared" si="32"/>
        <v>0.22174787492410439</v>
      </c>
      <c r="BC10" s="6"/>
      <c r="BD10" s="181">
        <f t="shared" si="52"/>
        <v>6.0707632688704521E-2</v>
      </c>
      <c r="BE10" s="181">
        <f t="shared" si="33"/>
        <v>0.15603818976989786</v>
      </c>
      <c r="BF10" s="181"/>
      <c r="BG10" s="548">
        <f t="shared" si="34"/>
        <v>1.289895833333333E-3</v>
      </c>
      <c r="BH10" s="548">
        <f t="shared" si="35"/>
        <v>1.0747306034482757E-2</v>
      </c>
      <c r="BI10" s="548">
        <f t="shared" si="36"/>
        <v>1.6999851367419736E-3</v>
      </c>
      <c r="BJ10" s="548">
        <f t="shared" si="37"/>
        <v>5.8067879802690247E-3</v>
      </c>
      <c r="BK10">
        <f t="shared" si="38"/>
        <v>3.48E-3</v>
      </c>
      <c r="BL10" s="474">
        <f t="shared" si="53"/>
        <v>23.023974984827088</v>
      </c>
      <c r="BM10" s="548">
        <f t="shared" si="54"/>
        <v>5.2499999999999995E-3</v>
      </c>
      <c r="BN10" s="548"/>
      <c r="BP10" s="474">
        <f t="shared" si="55"/>
        <v>5.2499999999999991</v>
      </c>
      <c r="BQ10" s="548">
        <f t="shared" si="39"/>
        <v>0</v>
      </c>
      <c r="BR10" s="548">
        <f t="shared" si="40"/>
        <v>0</v>
      </c>
      <c r="BS10" s="548">
        <f t="shared" si="41"/>
        <v>4.8843050188289883E-4</v>
      </c>
      <c r="BT10" s="548">
        <f t="shared" si="42"/>
        <v>1.2009375000000001E-2</v>
      </c>
      <c r="BU10" s="474">
        <f t="shared" si="56"/>
        <v>12.497805501882901</v>
      </c>
      <c r="BV10" s="181">
        <f t="shared" si="57"/>
        <v>4.0771780486709985E-2</v>
      </c>
      <c r="BW10" s="6">
        <f t="shared" si="58"/>
        <v>0.22499999999999998</v>
      </c>
      <c r="BX10" s="181">
        <f t="shared" si="59"/>
        <v>0.84659100973006129</v>
      </c>
      <c r="BY10" s="6">
        <f t="shared" si="60"/>
        <v>84.659100973006133</v>
      </c>
      <c r="CB10" s="583">
        <f t="shared" si="43"/>
        <v>-50</v>
      </c>
      <c r="CC10">
        <f t="shared" si="44"/>
        <v>-50</v>
      </c>
    </row>
    <row r="11" spans="2:81" x14ac:dyDescent="0.2">
      <c r="E11" s="178">
        <v>6</v>
      </c>
      <c r="F11" s="225">
        <f t="shared" si="45"/>
        <v>1.7999999999999999E-2</v>
      </c>
      <c r="G11" s="225"/>
      <c r="H11" s="225">
        <f t="shared" si="0"/>
        <v>0.26999999999999996</v>
      </c>
      <c r="I11" s="561">
        <f t="shared" si="1"/>
        <v>12</v>
      </c>
      <c r="J11" s="180">
        <f t="shared" si="2"/>
        <v>15.25</v>
      </c>
      <c r="K11" s="456">
        <f t="shared" si="3"/>
        <v>27.25</v>
      </c>
      <c r="L11" s="456"/>
      <c r="M11" s="225">
        <f t="shared" si="4"/>
        <v>0.55963302752293576</v>
      </c>
      <c r="N11" s="180">
        <f t="shared" si="5"/>
        <v>4.3819266055045869</v>
      </c>
      <c r="O11" s="180">
        <f t="shared" si="46"/>
        <v>0.26999999999999996</v>
      </c>
      <c r="P11" s="225">
        <f t="shared" si="6"/>
        <v>0.29212844036697244</v>
      </c>
      <c r="Q11" s="225">
        <f t="shared" si="7"/>
        <v>15</v>
      </c>
      <c r="R11" s="225">
        <f t="shared" si="8"/>
        <v>0.32458715596330273</v>
      </c>
      <c r="S11" s="180">
        <f t="shared" si="9"/>
        <v>423.00708789075441</v>
      </c>
      <c r="T11" s="180">
        <f t="shared" si="10"/>
        <v>15</v>
      </c>
      <c r="U11" s="225">
        <f t="shared" si="11"/>
        <v>8.9344262295081953E-2</v>
      </c>
      <c r="V11" s="225">
        <f t="shared" si="12"/>
        <v>0.29781420765027317</v>
      </c>
      <c r="W11" s="225">
        <f t="shared" si="13"/>
        <v>0.2343456060198871</v>
      </c>
      <c r="X11" s="205">
        <f t="shared" si="14"/>
        <v>350</v>
      </c>
      <c r="Y11" s="456">
        <f t="shared" si="47"/>
        <v>350</v>
      </c>
      <c r="AA11" s="225">
        <f t="shared" si="15"/>
        <v>0.47968545216251629</v>
      </c>
      <c r="AB11" s="181">
        <f t="shared" si="16"/>
        <v>1.258191349934469</v>
      </c>
      <c r="AC11" s="181">
        <f t="shared" si="17"/>
        <v>0.10561881515504945</v>
      </c>
      <c r="AD11" s="181"/>
      <c r="AE11" s="181">
        <f t="shared" si="18"/>
        <v>0.76065573770491812</v>
      </c>
      <c r="AF11" s="565">
        <f t="shared" si="61"/>
        <v>163.19857312722945</v>
      </c>
      <c r="AG11" s="548">
        <f t="shared" si="19"/>
        <v>3.8603278688524589E-2</v>
      </c>
      <c r="AI11" s="181">
        <f t="shared" si="20"/>
        <v>0.20873770280289225</v>
      </c>
      <c r="AJ11" s="181">
        <f t="shared" si="21"/>
        <v>0.28999999999999998</v>
      </c>
      <c r="AK11" s="181">
        <f t="shared" si="22"/>
        <v>1.0932563275012739</v>
      </c>
      <c r="AM11" s="565">
        <f t="shared" si="23"/>
        <v>18</v>
      </c>
      <c r="AN11" s="474">
        <f t="shared" si="24"/>
        <v>163.19857312722945</v>
      </c>
      <c r="AP11">
        <f t="shared" si="25"/>
        <v>18</v>
      </c>
      <c r="AQ11" s="474">
        <f t="shared" si="26"/>
        <v>163.19857312722945</v>
      </c>
      <c r="AR11" s="474"/>
      <c r="AS11" s="6">
        <f t="shared" si="48"/>
        <v>6.127504553734064</v>
      </c>
      <c r="AT11" s="6">
        <f t="shared" si="27"/>
        <v>0.96666666666666679</v>
      </c>
      <c r="AU11" s="6">
        <f t="shared" si="49"/>
        <v>5.1608378870673972</v>
      </c>
      <c r="AV11" s="6">
        <f t="shared" si="28"/>
        <v>0.76065573770491812</v>
      </c>
      <c r="AW11" s="181">
        <f t="shared" si="50"/>
        <v>0.15775862068965513</v>
      </c>
      <c r="AX11" s="181">
        <f t="shared" si="29"/>
        <v>0.27449999999999997</v>
      </c>
      <c r="AY11" s="181">
        <f t="shared" si="30"/>
        <v>0.12212500000000001</v>
      </c>
      <c r="AZ11" s="181">
        <f t="shared" si="51"/>
        <v>2.2476970317297846</v>
      </c>
      <c r="BA11" s="474">
        <f t="shared" si="31"/>
        <v>0.11600000000000002</v>
      </c>
      <c r="BB11" s="6">
        <f t="shared" si="32"/>
        <v>0.21503491196114149</v>
      </c>
      <c r="BC11" s="6"/>
      <c r="BD11" s="181">
        <f t="shared" si="52"/>
        <v>6.6501879672682923E-2</v>
      </c>
      <c r="BE11" s="181">
        <f t="shared" si="33"/>
        <v>0.15365817040864874</v>
      </c>
      <c r="BF11" s="181"/>
      <c r="BG11" s="548">
        <f t="shared" si="34"/>
        <v>1.5478749999999993E-3</v>
      </c>
      <c r="BH11" s="548">
        <f t="shared" si="35"/>
        <v>1.2896767241379307E-2</v>
      </c>
      <c r="BI11" s="548">
        <f t="shared" si="36"/>
        <v>2.0399821640903677E-3</v>
      </c>
      <c r="BJ11" s="548">
        <f t="shared" si="37"/>
        <v>6.9681455763228282E-3</v>
      </c>
      <c r="BK11">
        <f t="shared" si="38"/>
        <v>3.48E-3</v>
      </c>
      <c r="BL11" s="474">
        <f t="shared" si="53"/>
        <v>26.932769981792504</v>
      </c>
      <c r="BM11" s="548">
        <f t="shared" si="54"/>
        <v>6.2999999999999992E-3</v>
      </c>
      <c r="BN11" s="548"/>
      <c r="BP11" s="474">
        <f t="shared" si="55"/>
        <v>6.2999999999999989</v>
      </c>
      <c r="BQ11" s="548">
        <f t="shared" si="39"/>
        <v>0</v>
      </c>
      <c r="BR11" s="548">
        <f t="shared" si="40"/>
        <v>0</v>
      </c>
      <c r="BS11" s="548">
        <f t="shared" si="41"/>
        <v>7.7047028252592018E-4</v>
      </c>
      <c r="BT11" s="548">
        <f t="shared" si="42"/>
        <v>1.4411249999999999E-2</v>
      </c>
      <c r="BU11" s="474">
        <f t="shared" si="56"/>
        <v>15.181720282525919</v>
      </c>
      <c r="BV11" s="181">
        <f t="shared" si="57"/>
        <v>4.8414490264318426E-2</v>
      </c>
      <c r="BW11" s="6">
        <f t="shared" si="58"/>
        <v>0.26999999999999996</v>
      </c>
      <c r="BX11" s="181">
        <f t="shared" si="59"/>
        <v>0.84795135980109082</v>
      </c>
      <c r="BY11" s="6">
        <f t="shared" si="60"/>
        <v>84.79513598010908</v>
      </c>
      <c r="CB11" s="583">
        <f t="shared" si="43"/>
        <v>-50</v>
      </c>
      <c r="CC11">
        <f t="shared" si="44"/>
        <v>-50</v>
      </c>
    </row>
    <row r="12" spans="2:81" x14ac:dyDescent="0.2">
      <c r="E12" s="178">
        <v>7</v>
      </c>
      <c r="F12" s="225">
        <f t="shared" si="45"/>
        <v>2.1000000000000001E-2</v>
      </c>
      <c r="G12" s="225"/>
      <c r="H12" s="225">
        <f t="shared" si="0"/>
        <v>0.315</v>
      </c>
      <c r="I12" s="561">
        <f t="shared" si="1"/>
        <v>12</v>
      </c>
      <c r="J12" s="180">
        <f t="shared" si="2"/>
        <v>15.25</v>
      </c>
      <c r="K12" s="456">
        <f t="shared" si="3"/>
        <v>27.25</v>
      </c>
      <c r="L12" s="456"/>
      <c r="M12" s="225">
        <f t="shared" si="4"/>
        <v>0.55963302752293576</v>
      </c>
      <c r="N12" s="180">
        <f t="shared" si="5"/>
        <v>4.3819266055045869</v>
      </c>
      <c r="O12" s="180">
        <f t="shared" si="46"/>
        <v>0.315</v>
      </c>
      <c r="P12" s="225">
        <f t="shared" si="6"/>
        <v>0.29212844036697244</v>
      </c>
      <c r="Q12" s="225">
        <f t="shared" si="7"/>
        <v>15</v>
      </c>
      <c r="R12" s="225">
        <f t="shared" si="8"/>
        <v>0.32458715596330273</v>
      </c>
      <c r="S12" s="180">
        <f t="shared" si="9"/>
        <v>360.86545044962122</v>
      </c>
      <c r="T12" s="180">
        <f t="shared" si="10"/>
        <v>15</v>
      </c>
      <c r="U12" s="225">
        <f t="shared" si="11"/>
        <v>0.10423497267759563</v>
      </c>
      <c r="V12" s="225">
        <f t="shared" si="12"/>
        <v>0.3474499089253188</v>
      </c>
      <c r="W12" s="225">
        <f t="shared" si="13"/>
        <v>0.2734032070232017</v>
      </c>
      <c r="X12" s="205">
        <f t="shared" si="14"/>
        <v>350</v>
      </c>
      <c r="Y12" s="456">
        <f t="shared" si="47"/>
        <v>350</v>
      </c>
      <c r="AA12" s="225">
        <f t="shared" si="15"/>
        <v>0.47968545216251629</v>
      </c>
      <c r="AB12" s="181">
        <f t="shared" si="16"/>
        <v>1.258191349934469</v>
      </c>
      <c r="AC12" s="181">
        <f t="shared" si="17"/>
        <v>0.10561881515504945</v>
      </c>
      <c r="AD12" s="181"/>
      <c r="AE12" s="181">
        <f t="shared" si="18"/>
        <v>0.76065573770491812</v>
      </c>
      <c r="AF12" s="565">
        <f t="shared" si="61"/>
        <v>190.39833531510109</v>
      </c>
      <c r="AG12" s="548">
        <f t="shared" si="19"/>
        <v>3.8603278688524589E-2</v>
      </c>
      <c r="AI12" s="181">
        <f t="shared" si="20"/>
        <v>0.22546248764114471</v>
      </c>
      <c r="AJ12" s="181">
        <f t="shared" si="21"/>
        <v>0.28999999999999998</v>
      </c>
      <c r="AK12" s="181">
        <f t="shared" si="22"/>
        <v>1.1087990487514863</v>
      </c>
      <c r="AM12" s="565">
        <f t="shared" si="23"/>
        <v>21</v>
      </c>
      <c r="AN12" s="474">
        <f t="shared" si="24"/>
        <v>190.39833531510109</v>
      </c>
      <c r="AP12">
        <f t="shared" si="25"/>
        <v>21</v>
      </c>
      <c r="AQ12" s="474">
        <f t="shared" si="26"/>
        <v>190.39833531510109</v>
      </c>
      <c r="AR12" s="474"/>
      <c r="AS12" s="6">
        <f t="shared" si="48"/>
        <v>5.2521467603434813</v>
      </c>
      <c r="AT12" s="6">
        <f t="shared" si="27"/>
        <v>0.96666666666666679</v>
      </c>
      <c r="AU12" s="6">
        <f t="shared" si="49"/>
        <v>4.2854800936768145</v>
      </c>
      <c r="AV12" s="6">
        <f t="shared" si="28"/>
        <v>0.76065573770491812</v>
      </c>
      <c r="AW12" s="181">
        <f t="shared" si="50"/>
        <v>0.18405172413793108</v>
      </c>
      <c r="AX12" s="181">
        <f t="shared" si="29"/>
        <v>0.32024999999999998</v>
      </c>
      <c r="AY12" s="181">
        <f t="shared" si="30"/>
        <v>0.11831249999999997</v>
      </c>
      <c r="AZ12" s="181">
        <f t="shared" si="51"/>
        <v>2.7068145800316961</v>
      </c>
      <c r="BA12" s="474">
        <f t="shared" si="31"/>
        <v>0.13533333333333333</v>
      </c>
      <c r="BB12" s="6">
        <f t="shared" si="32"/>
        <v>0.20832194899817844</v>
      </c>
      <c r="BC12" s="6"/>
      <c r="BD12" s="181">
        <f t="shared" si="52"/>
        <v>7.1830239685896455E-2</v>
      </c>
      <c r="BE12" s="181">
        <f t="shared" si="33"/>
        <v>0.15124070219355631</v>
      </c>
      <c r="BF12" s="181"/>
      <c r="BG12" s="548">
        <f t="shared" si="34"/>
        <v>1.8058541666666668E-3</v>
      </c>
      <c r="BH12" s="548">
        <f t="shared" si="35"/>
        <v>1.5046228448275863E-2</v>
      </c>
      <c r="BI12" s="548">
        <f t="shared" si="36"/>
        <v>2.3799791914387637E-3</v>
      </c>
      <c r="BJ12" s="548">
        <f t="shared" si="37"/>
        <v>8.1295031723766353E-3</v>
      </c>
      <c r="BK12">
        <f t="shared" si="38"/>
        <v>3.48E-3</v>
      </c>
      <c r="BL12" s="474">
        <f t="shared" si="53"/>
        <v>30.841564978757926</v>
      </c>
      <c r="BM12" s="548">
        <f t="shared" si="54"/>
        <v>7.3499999999999998E-3</v>
      </c>
      <c r="BN12" s="548"/>
      <c r="BP12" s="474">
        <f t="shared" si="55"/>
        <v>7.35</v>
      </c>
      <c r="BQ12" s="548">
        <f t="shared" si="39"/>
        <v>0</v>
      </c>
      <c r="BR12" s="548">
        <f t="shared" si="40"/>
        <v>0</v>
      </c>
      <c r="BS12" s="548">
        <f t="shared" si="41"/>
        <v>1.1327207765143372E-3</v>
      </c>
      <c r="BT12" s="548">
        <f t="shared" si="42"/>
        <v>1.6813125000000005E-2</v>
      </c>
      <c r="BU12" s="474">
        <f t="shared" si="56"/>
        <v>17.945845776514339</v>
      </c>
      <c r="BV12" s="181">
        <f t="shared" si="57"/>
        <v>5.6137410755272267E-2</v>
      </c>
      <c r="BW12" s="6">
        <f t="shared" si="58"/>
        <v>0.315</v>
      </c>
      <c r="BX12" s="181">
        <f t="shared" si="59"/>
        <v>0.84874224713420432</v>
      </c>
      <c r="BY12" s="6">
        <f t="shared" si="60"/>
        <v>84.874224713420432</v>
      </c>
      <c r="CB12" s="583">
        <f t="shared" si="43"/>
        <v>-50</v>
      </c>
      <c r="CC12">
        <f t="shared" si="44"/>
        <v>-50</v>
      </c>
    </row>
    <row r="13" spans="2:81" s="78" customFormat="1" x14ac:dyDescent="0.2">
      <c r="E13" s="197">
        <v>8</v>
      </c>
      <c r="F13" s="225">
        <f t="shared" si="45"/>
        <v>2.4E-2</v>
      </c>
      <c r="G13" s="225"/>
      <c r="H13" s="225">
        <f t="shared" si="0"/>
        <v>0.36</v>
      </c>
      <c r="I13" s="561">
        <f t="shared" si="1"/>
        <v>12</v>
      </c>
      <c r="J13" s="180">
        <f t="shared" si="2"/>
        <v>15.25</v>
      </c>
      <c r="K13" s="555">
        <f t="shared" si="3"/>
        <v>27.25</v>
      </c>
      <c r="L13" s="555"/>
      <c r="M13" s="337">
        <f t="shared" si="4"/>
        <v>0.55963302752293576</v>
      </c>
      <c r="N13" s="180">
        <f t="shared" si="5"/>
        <v>4.3819266055045869</v>
      </c>
      <c r="O13" s="180">
        <f t="shared" si="46"/>
        <v>0.36</v>
      </c>
      <c r="P13" s="337">
        <f t="shared" si="6"/>
        <v>0.29212844036697244</v>
      </c>
      <c r="Q13" s="225">
        <f t="shared" si="7"/>
        <v>15</v>
      </c>
      <c r="R13" s="225">
        <f t="shared" si="8"/>
        <v>0.32458715596330273</v>
      </c>
      <c r="S13" s="180">
        <f t="shared" si="9"/>
        <v>314.25953866141157</v>
      </c>
      <c r="T13" s="180">
        <f t="shared" si="10"/>
        <v>15</v>
      </c>
      <c r="U13" s="225">
        <f t="shared" si="11"/>
        <v>0.11912568306010927</v>
      </c>
      <c r="V13" s="337">
        <f t="shared" si="12"/>
        <v>0.39708561020036431</v>
      </c>
      <c r="W13" s="225">
        <f t="shared" si="13"/>
        <v>0.31246080802651616</v>
      </c>
      <c r="X13" s="557">
        <f t="shared" si="14"/>
        <v>350</v>
      </c>
      <c r="Y13" s="555">
        <f t="shared" si="47"/>
        <v>350</v>
      </c>
      <c r="AA13" s="337">
        <f t="shared" si="15"/>
        <v>0.47968545216251629</v>
      </c>
      <c r="AB13" s="181">
        <f t="shared" si="16"/>
        <v>1.258191349934469</v>
      </c>
      <c r="AC13" s="558">
        <f t="shared" si="17"/>
        <v>0.10561881515504945</v>
      </c>
      <c r="AD13" s="558"/>
      <c r="AE13" s="181">
        <f t="shared" si="18"/>
        <v>0.76065573770491812</v>
      </c>
      <c r="AF13" s="565">
        <f t="shared" si="61"/>
        <v>217.59809750297265</v>
      </c>
      <c r="AG13" s="548">
        <f t="shared" si="19"/>
        <v>3.8603278688524589E-2</v>
      </c>
      <c r="AH13"/>
      <c r="AI13" s="181">
        <f t="shared" si="20"/>
        <v>0.24102953780654787</v>
      </c>
      <c r="AJ13" s="181">
        <f t="shared" si="21"/>
        <v>0.28999999999999998</v>
      </c>
      <c r="AK13" s="181">
        <f t="shared" si="22"/>
        <v>1.1243417700016987</v>
      </c>
      <c r="AM13" s="565">
        <f t="shared" si="23"/>
        <v>24</v>
      </c>
      <c r="AN13" s="474">
        <f t="shared" si="24"/>
        <v>217.59809750297265</v>
      </c>
      <c r="AP13">
        <f t="shared" si="25"/>
        <v>24</v>
      </c>
      <c r="AQ13" s="474">
        <f t="shared" si="26"/>
        <v>217.59809750297265</v>
      </c>
      <c r="AR13" s="474"/>
      <c r="AS13" s="6">
        <f t="shared" si="48"/>
        <v>4.5956284153005464</v>
      </c>
      <c r="AT13" s="6">
        <f t="shared" si="27"/>
        <v>0.96666666666666679</v>
      </c>
      <c r="AU13" s="6">
        <f t="shared" si="49"/>
        <v>3.6289617486338797</v>
      </c>
      <c r="AV13" s="6">
        <f t="shared" si="28"/>
        <v>0.76065573770491812</v>
      </c>
      <c r="AW13" s="181">
        <f t="shared" si="50"/>
        <v>0.21034482758620693</v>
      </c>
      <c r="AX13" s="181">
        <f t="shared" si="29"/>
        <v>0.36599999999999999</v>
      </c>
      <c r="AY13" s="181">
        <f t="shared" si="30"/>
        <v>0.11449999999999998</v>
      </c>
      <c r="AZ13" s="181">
        <f t="shared" si="51"/>
        <v>3.1965065502183414</v>
      </c>
      <c r="BA13" s="474">
        <f t="shared" si="31"/>
        <v>0.15466666666666667</v>
      </c>
      <c r="BB13" s="6">
        <f t="shared" si="32"/>
        <v>0.20160898603521551</v>
      </c>
      <c r="BC13" s="6"/>
      <c r="BD13" s="181">
        <f t="shared" si="52"/>
        <v>7.6789756261279193E-2</v>
      </c>
      <c r="BE13" s="181">
        <f t="shared" si="33"/>
        <v>0.14878395970892383</v>
      </c>
      <c r="BF13" s="181"/>
      <c r="BG13" s="548">
        <f t="shared" si="34"/>
        <v>2.0638333333333333E-3</v>
      </c>
      <c r="BH13" s="548">
        <f t="shared" si="35"/>
        <v>1.7195689655172416E-2</v>
      </c>
      <c r="BI13" s="548">
        <f t="shared" si="36"/>
        <v>2.7199762187871579E-3</v>
      </c>
      <c r="BJ13" s="548">
        <f t="shared" si="37"/>
        <v>9.2908607684304388E-3</v>
      </c>
      <c r="BK13">
        <f t="shared" si="38"/>
        <v>3.48E-3</v>
      </c>
      <c r="BL13" s="474">
        <f t="shared" si="53"/>
        <v>34.750359975723342</v>
      </c>
      <c r="BM13" s="548">
        <f t="shared" si="54"/>
        <v>8.3999999999999995E-3</v>
      </c>
      <c r="BN13" s="548"/>
      <c r="BP13" s="474">
        <f t="shared" si="55"/>
        <v>8.4</v>
      </c>
      <c r="BQ13" s="548">
        <f t="shared" si="39"/>
        <v>0</v>
      </c>
      <c r="BR13" s="548">
        <f t="shared" si="40"/>
        <v>0</v>
      </c>
      <c r="BS13" s="548">
        <f t="shared" si="41"/>
        <v>1.5816221334006993E-3</v>
      </c>
      <c r="BT13" s="548">
        <f t="shared" si="42"/>
        <v>1.9215000000000003E-2</v>
      </c>
      <c r="BU13" s="474">
        <f t="shared" si="56"/>
        <v>20.7966221334007</v>
      </c>
      <c r="BV13" s="181">
        <f t="shared" si="57"/>
        <v>6.3946982109124043E-2</v>
      </c>
      <c r="BW13" s="6">
        <f t="shared" si="58"/>
        <v>0.36</v>
      </c>
      <c r="BX13" s="181">
        <f t="shared" si="59"/>
        <v>0.84916278495252018</v>
      </c>
      <c r="BY13" s="6">
        <f t="shared" si="60"/>
        <v>84.916278495252016</v>
      </c>
      <c r="CB13" s="583">
        <f t="shared" si="43"/>
        <v>-50</v>
      </c>
      <c r="CC13">
        <f t="shared" si="44"/>
        <v>-50</v>
      </c>
    </row>
    <row r="14" spans="2:81" x14ac:dyDescent="0.2">
      <c r="E14" s="178">
        <v>9</v>
      </c>
      <c r="F14" s="225">
        <f t="shared" si="45"/>
        <v>2.7E-2</v>
      </c>
      <c r="G14" s="225"/>
      <c r="H14" s="225">
        <f t="shared" si="0"/>
        <v>0.40499999999999997</v>
      </c>
      <c r="I14" s="561">
        <f t="shared" si="1"/>
        <v>12</v>
      </c>
      <c r="J14" s="180">
        <f t="shared" si="2"/>
        <v>15.25</v>
      </c>
      <c r="K14" s="456">
        <f t="shared" si="3"/>
        <v>27.25</v>
      </c>
      <c r="L14" s="456"/>
      <c r="M14" s="225">
        <f t="shared" si="4"/>
        <v>0.55963302752293576</v>
      </c>
      <c r="N14" s="180">
        <f t="shared" si="5"/>
        <v>4.3819266055045869</v>
      </c>
      <c r="O14" s="180">
        <f t="shared" si="46"/>
        <v>0.40499999999999997</v>
      </c>
      <c r="P14" s="225">
        <f t="shared" si="6"/>
        <v>0.29212844036697244</v>
      </c>
      <c r="Q14" s="225">
        <f t="shared" si="7"/>
        <v>15</v>
      </c>
      <c r="R14" s="225">
        <f t="shared" si="8"/>
        <v>0.32458715596330273</v>
      </c>
      <c r="S14" s="180">
        <f t="shared" si="9"/>
        <v>278.01078125342167</v>
      </c>
      <c r="T14" s="180">
        <f t="shared" si="10"/>
        <v>15</v>
      </c>
      <c r="U14" s="225">
        <f t="shared" si="11"/>
        <v>0.13401639344262292</v>
      </c>
      <c r="V14" s="225">
        <f t="shared" si="12"/>
        <v>0.44672131147540972</v>
      </c>
      <c r="W14" s="225">
        <f t="shared" si="13"/>
        <v>0.35151840902983061</v>
      </c>
      <c r="X14" s="205">
        <f t="shared" si="14"/>
        <v>350</v>
      </c>
      <c r="Y14" s="456">
        <f t="shared" si="47"/>
        <v>350</v>
      </c>
      <c r="AA14" s="225">
        <f t="shared" si="15"/>
        <v>0.47968545216251629</v>
      </c>
      <c r="AB14" s="181">
        <f t="shared" si="16"/>
        <v>1.258191349934469</v>
      </c>
      <c r="AC14" s="181">
        <f t="shared" si="17"/>
        <v>0.10561881515504945</v>
      </c>
      <c r="AD14" s="181"/>
      <c r="AE14" s="181">
        <f t="shared" si="18"/>
        <v>0.76065573770491812</v>
      </c>
      <c r="AF14" s="565">
        <f t="shared" si="61"/>
        <v>244.79785969084423</v>
      </c>
      <c r="AG14" s="548">
        <f t="shared" si="19"/>
        <v>3.8603278688524589E-2</v>
      </c>
      <c r="AI14" s="181">
        <f t="shared" si="20"/>
        <v>0.255650430973904</v>
      </c>
      <c r="AJ14" s="181">
        <f t="shared" si="21"/>
        <v>0.28999999999999998</v>
      </c>
      <c r="AK14" s="181">
        <f t="shared" si="22"/>
        <v>1.139884491251911</v>
      </c>
      <c r="AM14" s="565">
        <f t="shared" si="23"/>
        <v>27</v>
      </c>
      <c r="AN14" s="474">
        <f t="shared" si="24"/>
        <v>244.79785969084423</v>
      </c>
      <c r="AP14">
        <f t="shared" si="25"/>
        <v>27</v>
      </c>
      <c r="AQ14" s="474">
        <f t="shared" si="26"/>
        <v>244.79785969084423</v>
      </c>
      <c r="AR14" s="474"/>
      <c r="AS14" s="6">
        <f t="shared" si="48"/>
        <v>4.0850030358227079</v>
      </c>
      <c r="AT14" s="6">
        <f t="shared" si="27"/>
        <v>0.96666666666666679</v>
      </c>
      <c r="AU14" s="6">
        <f t="shared" si="49"/>
        <v>3.1183363691560411</v>
      </c>
      <c r="AV14" s="6">
        <f t="shared" si="28"/>
        <v>0.76065573770491812</v>
      </c>
      <c r="AW14" s="181">
        <f t="shared" si="50"/>
        <v>0.2366379310344828</v>
      </c>
      <c r="AX14" s="181">
        <f t="shared" si="29"/>
        <v>0.41175</v>
      </c>
      <c r="AY14" s="181">
        <f t="shared" si="30"/>
        <v>0.11068749999999998</v>
      </c>
      <c r="AZ14" s="181">
        <f t="shared" si="51"/>
        <v>3.7199322416713727</v>
      </c>
      <c r="BA14" s="474">
        <f t="shared" si="31"/>
        <v>0.17399999999999999</v>
      </c>
      <c r="BB14" s="6">
        <f t="shared" si="32"/>
        <v>0.19489602307225254</v>
      </c>
      <c r="BC14" s="6"/>
      <c r="BD14" s="181">
        <f t="shared" si="52"/>
        <v>8.1447836067018997E-2</v>
      </c>
      <c r="BE14" s="181">
        <f t="shared" si="33"/>
        <v>0.14628596423899776</v>
      </c>
      <c r="BF14" s="181"/>
      <c r="BG14" s="548">
        <f t="shared" si="34"/>
        <v>2.3218125000000001E-3</v>
      </c>
      <c r="BH14" s="548">
        <f t="shared" si="35"/>
        <v>1.9345150862068967E-2</v>
      </c>
      <c r="BI14" s="548">
        <f t="shared" si="36"/>
        <v>3.059973246135553E-3</v>
      </c>
      <c r="BJ14" s="548">
        <f t="shared" si="37"/>
        <v>1.0452218364484244E-2</v>
      </c>
      <c r="BK14">
        <f t="shared" si="38"/>
        <v>3.48E-3</v>
      </c>
      <c r="BL14" s="474">
        <f t="shared" si="53"/>
        <v>38.659154972688761</v>
      </c>
      <c r="BM14" s="548">
        <f t="shared" si="54"/>
        <v>9.4500000000000001E-3</v>
      </c>
      <c r="BN14" s="548"/>
      <c r="BP14" s="474">
        <f t="shared" si="55"/>
        <v>9.4499999999999993</v>
      </c>
      <c r="BQ14" s="548">
        <f t="shared" si="39"/>
        <v>0</v>
      </c>
      <c r="BR14" s="548">
        <f t="shared" si="40"/>
        <v>0</v>
      </c>
      <c r="BS14" s="548">
        <f t="shared" si="41"/>
        <v>2.1231664359373111E-3</v>
      </c>
      <c r="BT14" s="548">
        <f t="shared" si="42"/>
        <v>2.1616875000000001E-2</v>
      </c>
      <c r="BU14" s="474">
        <f t="shared" si="56"/>
        <v>23.740041435937311</v>
      </c>
      <c r="BV14" s="181">
        <f t="shared" si="57"/>
        <v>7.1849196408626081E-2</v>
      </c>
      <c r="BW14" s="6">
        <f t="shared" si="58"/>
        <v>0.40499999999999997</v>
      </c>
      <c r="BX14" s="181">
        <f t="shared" si="59"/>
        <v>0.8493251179833039</v>
      </c>
      <c r="BY14" s="6">
        <f t="shared" si="60"/>
        <v>84.932511798330395</v>
      </c>
      <c r="CB14" s="583">
        <f t="shared" si="43"/>
        <v>-50</v>
      </c>
      <c r="CC14">
        <f t="shared" si="44"/>
        <v>-50</v>
      </c>
    </row>
    <row r="15" spans="2:81" x14ac:dyDescent="0.2">
      <c r="E15" s="178">
        <v>10</v>
      </c>
      <c r="F15" s="225">
        <f t="shared" si="45"/>
        <v>0.03</v>
      </c>
      <c r="G15" s="225"/>
      <c r="H15" s="225">
        <f t="shared" si="0"/>
        <v>0.44999999999999996</v>
      </c>
      <c r="I15" s="561">
        <f t="shared" si="1"/>
        <v>12</v>
      </c>
      <c r="J15" s="180">
        <f t="shared" si="2"/>
        <v>15.25</v>
      </c>
      <c r="K15" s="456">
        <f t="shared" si="3"/>
        <v>27.25</v>
      </c>
      <c r="L15" s="456"/>
      <c r="M15" s="225">
        <f t="shared" si="4"/>
        <v>0.55963302752293576</v>
      </c>
      <c r="N15" s="180">
        <f t="shared" si="5"/>
        <v>4.3819266055045869</v>
      </c>
      <c r="O15" s="180">
        <f t="shared" si="46"/>
        <v>0.44999999999999996</v>
      </c>
      <c r="P15" s="225">
        <f t="shared" si="6"/>
        <v>0.29212844036697244</v>
      </c>
      <c r="Q15" s="225">
        <f t="shared" si="7"/>
        <v>15</v>
      </c>
      <c r="R15" s="225">
        <f t="shared" si="8"/>
        <v>0.32458715596330273</v>
      </c>
      <c r="S15" s="180">
        <f t="shared" si="9"/>
        <v>249.01203552716578</v>
      </c>
      <c r="T15" s="180">
        <f t="shared" si="10"/>
        <v>15</v>
      </c>
      <c r="U15" s="225">
        <f t="shared" si="11"/>
        <v>0.14890710382513658</v>
      </c>
      <c r="V15" s="225">
        <f t="shared" si="12"/>
        <v>0.49635701275045535</v>
      </c>
      <c r="W15" s="225">
        <f t="shared" si="13"/>
        <v>0.39057601003314518</v>
      </c>
      <c r="X15" s="205">
        <f t="shared" si="14"/>
        <v>350</v>
      </c>
      <c r="Y15" s="456">
        <f t="shared" si="47"/>
        <v>350</v>
      </c>
      <c r="AA15" s="225">
        <f t="shared" si="15"/>
        <v>0.47968545216251629</v>
      </c>
      <c r="AB15" s="181">
        <f t="shared" si="16"/>
        <v>1.258191349934469</v>
      </c>
      <c r="AC15" s="181">
        <f t="shared" si="17"/>
        <v>0.10561881515504945</v>
      </c>
      <c r="AD15" s="181"/>
      <c r="AE15" s="181">
        <f t="shared" si="18"/>
        <v>0.76065573770491812</v>
      </c>
      <c r="AF15" s="565">
        <f t="shared" si="61"/>
        <v>271.99762187871579</v>
      </c>
      <c r="AG15" s="548">
        <f t="shared" si="19"/>
        <v>3.8603278688524589E-2</v>
      </c>
      <c r="AI15" s="181">
        <f t="shared" si="20"/>
        <v>0.26947921556039828</v>
      </c>
      <c r="AJ15" s="181">
        <f t="shared" si="21"/>
        <v>0.28999999999999998</v>
      </c>
      <c r="AK15" s="181">
        <f t="shared" si="22"/>
        <v>1.1554272125021234</v>
      </c>
      <c r="AM15" s="565">
        <f t="shared" si="23"/>
        <v>30</v>
      </c>
      <c r="AN15" s="474">
        <f t="shared" si="24"/>
        <v>271.99762187871579</v>
      </c>
      <c r="AP15">
        <f t="shared" si="25"/>
        <v>30</v>
      </c>
      <c r="AQ15" s="474">
        <f t="shared" si="26"/>
        <v>271.99762187871579</v>
      </c>
      <c r="AR15" s="474"/>
      <c r="AS15" s="6">
        <f t="shared" si="48"/>
        <v>3.6765027322404373</v>
      </c>
      <c r="AT15" s="6">
        <f t="shared" si="27"/>
        <v>0.96666666666666679</v>
      </c>
      <c r="AU15" s="6">
        <f t="shared" si="49"/>
        <v>2.7098360655737705</v>
      </c>
      <c r="AV15" s="6">
        <f t="shared" si="28"/>
        <v>0.76065573770491812</v>
      </c>
      <c r="AW15" s="181">
        <f t="shared" si="50"/>
        <v>0.26293103448275862</v>
      </c>
      <c r="AX15" s="181">
        <f t="shared" si="29"/>
        <v>0.45749999999999996</v>
      </c>
      <c r="AY15" s="181">
        <f t="shared" si="30"/>
        <v>0.10687499999999998</v>
      </c>
      <c r="AZ15" s="181">
        <f t="shared" si="51"/>
        <v>4.2807017543859649</v>
      </c>
      <c r="BA15" s="474">
        <f t="shared" si="31"/>
        <v>0.19333333333333333</v>
      </c>
      <c r="BB15" s="6">
        <f t="shared" si="32"/>
        <v>0.18818306010928959</v>
      </c>
      <c r="BC15" s="6"/>
      <c r="BD15" s="181">
        <f t="shared" si="52"/>
        <v>8.5853557487930193E-2</v>
      </c>
      <c r="BE15" s="181">
        <f t="shared" si="33"/>
        <v>0.1437445651146505</v>
      </c>
      <c r="BF15" s="181"/>
      <c r="BG15" s="548">
        <f t="shared" si="34"/>
        <v>2.5797916666666669E-3</v>
      </c>
      <c r="BH15" s="548">
        <f t="shared" si="35"/>
        <v>2.1494612068965514E-2</v>
      </c>
      <c r="BI15" s="548">
        <f t="shared" si="36"/>
        <v>3.3999702734839473E-3</v>
      </c>
      <c r="BJ15" s="548">
        <f t="shared" si="37"/>
        <v>1.1613575960538049E-2</v>
      </c>
      <c r="BK15">
        <f t="shared" si="38"/>
        <v>3.48E-3</v>
      </c>
      <c r="BL15" s="474">
        <f t="shared" si="53"/>
        <v>42.567949969654173</v>
      </c>
      <c r="BM15" s="548">
        <f t="shared" si="54"/>
        <v>1.0499999999999999E-2</v>
      </c>
      <c r="BN15" s="548"/>
      <c r="BP15" s="474">
        <f t="shared" si="55"/>
        <v>10.499999999999998</v>
      </c>
      <c r="BQ15" s="548">
        <f t="shared" si="39"/>
        <v>0</v>
      </c>
      <c r="BR15" s="548">
        <f t="shared" si="40"/>
        <v>0</v>
      </c>
      <c r="BS15" s="548">
        <f t="shared" si="41"/>
        <v>2.7629801601579706E-3</v>
      </c>
      <c r="BT15" s="548">
        <f t="shared" si="42"/>
        <v>2.4018750000000002E-2</v>
      </c>
      <c r="BU15" s="474">
        <f t="shared" si="56"/>
        <v>26.781730160157974</v>
      </c>
      <c r="BV15" s="181">
        <f t="shared" si="57"/>
        <v>7.9849680129812139E-2</v>
      </c>
      <c r="BW15" s="6">
        <f t="shared" si="58"/>
        <v>0.44999999999999996</v>
      </c>
      <c r="BX15" s="181">
        <f t="shared" si="59"/>
        <v>0.84929748356128276</v>
      </c>
      <c r="BY15" s="6">
        <f t="shared" si="60"/>
        <v>84.929748356128272</v>
      </c>
      <c r="CB15" s="583">
        <f t="shared" si="43"/>
        <v>-50</v>
      </c>
      <c r="CC15">
        <f t="shared" si="44"/>
        <v>-50</v>
      </c>
    </row>
    <row r="16" spans="2:81" x14ac:dyDescent="0.2">
      <c r="E16" s="178">
        <v>11</v>
      </c>
      <c r="F16" s="225">
        <f t="shared" si="45"/>
        <v>3.3000000000000002E-2</v>
      </c>
      <c r="G16" s="225"/>
      <c r="H16" s="225">
        <f t="shared" si="0"/>
        <v>0.495</v>
      </c>
      <c r="I16" s="561">
        <f t="shared" si="1"/>
        <v>12</v>
      </c>
      <c r="J16" s="180">
        <f t="shared" si="2"/>
        <v>15.25</v>
      </c>
      <c r="K16" s="456">
        <f t="shared" si="3"/>
        <v>27.25</v>
      </c>
      <c r="L16" s="456"/>
      <c r="M16" s="225">
        <f t="shared" si="4"/>
        <v>0.55963302752293576</v>
      </c>
      <c r="N16" s="180">
        <f t="shared" si="5"/>
        <v>4.3819266055045869</v>
      </c>
      <c r="O16" s="180">
        <f t="shared" si="46"/>
        <v>0.495</v>
      </c>
      <c r="P16" s="225">
        <f t="shared" si="6"/>
        <v>0.29212844036697244</v>
      </c>
      <c r="Q16" s="225">
        <f t="shared" si="7"/>
        <v>15</v>
      </c>
      <c r="R16" s="225">
        <f t="shared" si="8"/>
        <v>0.32458715596330273</v>
      </c>
      <c r="S16" s="180">
        <f t="shared" si="9"/>
        <v>225.28602891687879</v>
      </c>
      <c r="T16" s="180">
        <f t="shared" si="10"/>
        <v>15</v>
      </c>
      <c r="U16" s="225">
        <f t="shared" si="11"/>
        <v>0.16379781420765027</v>
      </c>
      <c r="V16" s="225">
        <f t="shared" si="12"/>
        <v>0.54599271402550098</v>
      </c>
      <c r="W16" s="225">
        <f t="shared" si="13"/>
        <v>0.42963361103645975</v>
      </c>
      <c r="X16" s="205">
        <f t="shared" si="14"/>
        <v>350</v>
      </c>
      <c r="Y16" s="456">
        <f t="shared" si="47"/>
        <v>350</v>
      </c>
      <c r="AA16" s="225">
        <f t="shared" si="15"/>
        <v>0.47968545216251629</v>
      </c>
      <c r="AB16" s="181">
        <f t="shared" si="16"/>
        <v>1.258191349934469</v>
      </c>
      <c r="AC16" s="181">
        <f t="shared" si="17"/>
        <v>0.10561881515504945</v>
      </c>
      <c r="AD16" s="181"/>
      <c r="AE16" s="181">
        <f t="shared" si="18"/>
        <v>0.76065573770491812</v>
      </c>
      <c r="AF16" s="565">
        <f t="shared" si="61"/>
        <v>299.1973840665874</v>
      </c>
      <c r="AG16" s="548">
        <f t="shared" si="19"/>
        <v>3.8603278688524589E-2</v>
      </c>
      <c r="AI16" s="181">
        <f t="shared" si="20"/>
        <v>0.28263218567769732</v>
      </c>
      <c r="AJ16" s="181">
        <f t="shared" si="21"/>
        <v>0.28999999999999998</v>
      </c>
      <c r="AK16" s="181">
        <f t="shared" si="22"/>
        <v>1.1709699337523356</v>
      </c>
      <c r="AM16" s="565">
        <f t="shared" si="23"/>
        <v>33</v>
      </c>
      <c r="AN16" s="474">
        <f t="shared" si="24"/>
        <v>299.1973840665874</v>
      </c>
      <c r="AP16">
        <f t="shared" si="25"/>
        <v>33</v>
      </c>
      <c r="AQ16" s="474">
        <f t="shared" si="26"/>
        <v>299.1973840665874</v>
      </c>
      <c r="AR16" s="474"/>
      <c r="AS16" s="6">
        <f t="shared" si="48"/>
        <v>3.3422752111276699</v>
      </c>
      <c r="AT16" s="6">
        <f t="shared" si="27"/>
        <v>0.96666666666666679</v>
      </c>
      <c r="AU16" s="6">
        <f t="shared" si="49"/>
        <v>2.3756085444610031</v>
      </c>
      <c r="AV16" s="6">
        <f t="shared" si="28"/>
        <v>0.76065573770491812</v>
      </c>
      <c r="AW16" s="181">
        <f t="shared" si="50"/>
        <v>0.28922413793103452</v>
      </c>
      <c r="AX16" s="181">
        <f t="shared" si="29"/>
        <v>0.50324999999999998</v>
      </c>
      <c r="AY16" s="181">
        <f t="shared" si="30"/>
        <v>0.10306249999999999</v>
      </c>
      <c r="AZ16" s="181">
        <f t="shared" si="51"/>
        <v>4.8829593693147366</v>
      </c>
      <c r="BA16" s="474">
        <f t="shared" si="31"/>
        <v>0.2126666666666667</v>
      </c>
      <c r="BB16" s="6">
        <f t="shared" si="32"/>
        <v>0.18147009714632659</v>
      </c>
      <c r="BC16" s="6"/>
      <c r="BD16" s="181">
        <f t="shared" si="52"/>
        <v>9.0043970740225951E-2</v>
      </c>
      <c r="BE16" s="181">
        <f t="shared" si="33"/>
        <v>0.14115741803627135</v>
      </c>
      <c r="BF16" s="181"/>
      <c r="BG16" s="548">
        <f t="shared" si="34"/>
        <v>2.8377708333333336E-3</v>
      </c>
      <c r="BH16" s="548">
        <f t="shared" si="35"/>
        <v>2.3644073275862071E-2</v>
      </c>
      <c r="BI16" s="548">
        <f t="shared" si="36"/>
        <v>3.739967300832342E-3</v>
      </c>
      <c r="BJ16" s="548">
        <f t="shared" si="37"/>
        <v>1.2774933556591855E-2</v>
      </c>
      <c r="BK16">
        <f t="shared" si="38"/>
        <v>3.48E-3</v>
      </c>
      <c r="BL16" s="474">
        <f t="shared" si="53"/>
        <v>46.476744966619599</v>
      </c>
      <c r="BM16" s="548">
        <f t="shared" si="54"/>
        <v>1.155E-2</v>
      </c>
      <c r="BN16" s="548"/>
      <c r="BP16" s="474">
        <f t="shared" si="55"/>
        <v>11.549999999999999</v>
      </c>
      <c r="BQ16" s="548">
        <f t="shared" si="39"/>
        <v>0</v>
      </c>
      <c r="BR16" s="548">
        <f t="shared" si="40"/>
        <v>0</v>
      </c>
      <c r="BS16" s="548">
        <f t="shared" si="41"/>
        <v>3.5063840275436375E-3</v>
      </c>
      <c r="BT16" s="548">
        <f t="shared" si="42"/>
        <v>2.6420625000000003E-2</v>
      </c>
      <c r="BU16" s="474">
        <f t="shared" si="56"/>
        <v>29.92700902754364</v>
      </c>
      <c r="BV16" s="181">
        <f t="shared" si="57"/>
        <v>8.7953753994163233E-2</v>
      </c>
      <c r="BW16" s="6">
        <f t="shared" si="58"/>
        <v>0.495</v>
      </c>
      <c r="BX16" s="181">
        <f t="shared" si="59"/>
        <v>0.84912395984837608</v>
      </c>
      <c r="BY16" s="6">
        <f t="shared" si="60"/>
        <v>84.912395984837602</v>
      </c>
      <c r="CB16" s="583">
        <f t="shared" si="43"/>
        <v>-50</v>
      </c>
      <c r="CC16">
        <f t="shared" si="44"/>
        <v>-50</v>
      </c>
    </row>
    <row r="17" spans="5:81" x14ac:dyDescent="0.2">
      <c r="E17" s="178">
        <v>12</v>
      </c>
      <c r="F17" s="225">
        <f t="shared" si="45"/>
        <v>3.5999999999999997E-2</v>
      </c>
      <c r="G17" s="225"/>
      <c r="H17" s="225">
        <f t="shared" si="0"/>
        <v>0.53999999999999992</v>
      </c>
      <c r="I17" s="561">
        <f t="shared" si="1"/>
        <v>12</v>
      </c>
      <c r="J17" s="180">
        <f t="shared" si="2"/>
        <v>15.25</v>
      </c>
      <c r="K17" s="456">
        <f t="shared" si="3"/>
        <v>27.25</v>
      </c>
      <c r="L17" s="456"/>
      <c r="M17" s="225">
        <f t="shared" si="4"/>
        <v>0.55963302752293576</v>
      </c>
      <c r="N17" s="180">
        <f t="shared" si="5"/>
        <v>4.3819266055045869</v>
      </c>
      <c r="O17" s="180">
        <f t="shared" si="46"/>
        <v>0.53999999999999992</v>
      </c>
      <c r="P17" s="225">
        <f t="shared" si="6"/>
        <v>0.29212844036697244</v>
      </c>
      <c r="Q17" s="225">
        <f t="shared" si="7"/>
        <v>15</v>
      </c>
      <c r="R17" s="225">
        <f t="shared" si="8"/>
        <v>0.32458715596330273</v>
      </c>
      <c r="S17" s="180">
        <f t="shared" si="9"/>
        <v>205.5145797687988</v>
      </c>
      <c r="T17" s="180">
        <f t="shared" si="10"/>
        <v>15</v>
      </c>
      <c r="U17" s="225">
        <f t="shared" si="11"/>
        <v>0.17868852459016391</v>
      </c>
      <c r="V17" s="225">
        <f t="shared" si="12"/>
        <v>0.59562841530054633</v>
      </c>
      <c r="W17" s="225">
        <f t="shared" si="13"/>
        <v>0.46869121203977421</v>
      </c>
      <c r="X17" s="205">
        <f t="shared" si="14"/>
        <v>350</v>
      </c>
      <c r="Y17" s="456">
        <f t="shared" si="47"/>
        <v>350</v>
      </c>
      <c r="AA17" s="225">
        <f t="shared" si="15"/>
        <v>0.47968545216251629</v>
      </c>
      <c r="AB17" s="181">
        <f t="shared" si="16"/>
        <v>1.258191349934469</v>
      </c>
      <c r="AC17" s="181">
        <f t="shared" si="17"/>
        <v>0.10561881515504945</v>
      </c>
      <c r="AD17" s="181"/>
      <c r="AE17" s="181">
        <f t="shared" si="18"/>
        <v>0.76065573770491812</v>
      </c>
      <c r="AF17" s="566">
        <f t="shared" si="61"/>
        <v>326.3971462544589</v>
      </c>
      <c r="AG17" s="548">
        <f t="shared" si="19"/>
        <v>3.8603278688524589E-2</v>
      </c>
      <c r="AI17" s="181">
        <f t="shared" si="20"/>
        <v>0.29519969028245463</v>
      </c>
      <c r="AJ17" s="181">
        <f t="shared" si="21"/>
        <v>0.29519969028245463</v>
      </c>
      <c r="AK17" s="181">
        <f t="shared" si="22"/>
        <v>1.186512655002548</v>
      </c>
      <c r="AM17" s="565">
        <f t="shared" si="23"/>
        <v>36</v>
      </c>
      <c r="AN17" s="474">
        <f t="shared" si="24"/>
        <v>326.3971462544589</v>
      </c>
      <c r="AP17">
        <f t="shared" si="25"/>
        <v>36</v>
      </c>
      <c r="AQ17" s="474">
        <f t="shared" si="26"/>
        <v>326.3971462544589</v>
      </c>
      <c r="AR17" s="474"/>
      <c r="AS17" s="6">
        <f t="shared" si="48"/>
        <v>3.063752276867032</v>
      </c>
      <c r="AT17" s="6">
        <f t="shared" si="27"/>
        <v>0.98399896760818217</v>
      </c>
      <c r="AU17" s="6">
        <f t="shared" si="49"/>
        <v>2.0797533092588498</v>
      </c>
      <c r="AV17" s="6">
        <f t="shared" si="28"/>
        <v>0.7742942695933237</v>
      </c>
      <c r="AW17" s="181">
        <f t="shared" si="50"/>
        <v>0.32117445494464436</v>
      </c>
      <c r="AX17" s="181">
        <f t="shared" si="29"/>
        <v>0.56886359775777118</v>
      </c>
      <c r="AY17" s="181">
        <f t="shared" si="30"/>
        <v>0.10019454532807971</v>
      </c>
      <c r="AZ17" s="181">
        <f t="shared" si="51"/>
        <v>5.6775904905308856</v>
      </c>
      <c r="BA17" s="474">
        <f t="shared" si="31"/>
        <v>0.23615975222596369</v>
      </c>
      <c r="BB17" s="6">
        <f t="shared" si="32"/>
        <v>0.17331277577157075</v>
      </c>
      <c r="BC17" s="6"/>
      <c r="BD17" s="181">
        <f t="shared" si="52"/>
        <v>9.6588577042312398E-2</v>
      </c>
      <c r="BE17" s="181">
        <f t="shared" si="33"/>
        <v>0.14042174273437974</v>
      </c>
      <c r="BF17" s="181"/>
      <c r="BG17" s="548">
        <f t="shared" si="34"/>
        <v>3.265273625270551E-3</v>
      </c>
      <c r="BH17" s="548">
        <f t="shared" si="35"/>
        <v>2.625601169172468E-2</v>
      </c>
      <c r="BI17" s="548">
        <f t="shared" si="36"/>
        <v>4.0799643281807354E-3</v>
      </c>
      <c r="BJ17" s="548">
        <f t="shared" si="37"/>
        <v>1.3936291152645656E-2</v>
      </c>
      <c r="BK17">
        <f t="shared" si="38"/>
        <v>3.48E-3</v>
      </c>
      <c r="BL17" s="474">
        <f t="shared" si="53"/>
        <v>51.017540797821624</v>
      </c>
      <c r="BM17" s="548">
        <f t="shared" si="54"/>
        <v>1.2599999999999998E-2</v>
      </c>
      <c r="BN17" s="548"/>
      <c r="BP17" s="474">
        <f t="shared" si="55"/>
        <v>12.599999999999998</v>
      </c>
      <c r="BQ17" s="548">
        <f t="shared" si="39"/>
        <v>0</v>
      </c>
      <c r="BR17" s="548">
        <f t="shared" si="40"/>
        <v>0</v>
      </c>
      <c r="BS17" s="548">
        <f t="shared" si="41"/>
        <v>4.5564397353054847E-3</v>
      </c>
      <c r="BT17" s="548">
        <f t="shared" si="42"/>
        <v>2.9865338882282991E-2</v>
      </c>
      <c r="BU17" s="474">
        <f t="shared" si="56"/>
        <v>34.421778617588473</v>
      </c>
      <c r="BV17" s="181">
        <f t="shared" si="57"/>
        <v>9.8039319415410081E-2</v>
      </c>
      <c r="BW17" s="6">
        <f t="shared" si="58"/>
        <v>0.53999999999999992</v>
      </c>
      <c r="BX17" s="181">
        <f t="shared" si="59"/>
        <v>0.84634282491361734</v>
      </c>
      <c r="BY17" s="6">
        <f t="shared" si="60"/>
        <v>84.634282491361731</v>
      </c>
      <c r="CB17" s="583">
        <f t="shared" si="43"/>
        <v>-50</v>
      </c>
      <c r="CC17">
        <f t="shared" si="44"/>
        <v>-50</v>
      </c>
    </row>
    <row r="18" spans="5:81" x14ac:dyDescent="0.2">
      <c r="E18" s="178">
        <v>13</v>
      </c>
      <c r="F18" s="225">
        <f t="shared" si="45"/>
        <v>3.9E-2</v>
      </c>
      <c r="G18" s="225"/>
      <c r="H18" s="225">
        <f t="shared" si="0"/>
        <v>0.58499999999999996</v>
      </c>
      <c r="I18" s="561">
        <f t="shared" si="1"/>
        <v>12</v>
      </c>
      <c r="J18" s="180">
        <f t="shared" si="2"/>
        <v>15.25</v>
      </c>
      <c r="K18" s="456">
        <f t="shared" si="3"/>
        <v>27.25</v>
      </c>
      <c r="L18" s="456"/>
      <c r="M18" s="225">
        <f t="shared" si="4"/>
        <v>0.55963302752293576</v>
      </c>
      <c r="N18" s="180">
        <f t="shared" si="5"/>
        <v>4.3819266055045869</v>
      </c>
      <c r="O18" s="180">
        <f t="shared" si="46"/>
        <v>0.58499999999999996</v>
      </c>
      <c r="P18" s="225">
        <f t="shared" si="6"/>
        <v>0.29212844036697244</v>
      </c>
      <c r="Q18" s="225">
        <f t="shared" si="7"/>
        <v>15</v>
      </c>
      <c r="R18" s="225">
        <f t="shared" si="8"/>
        <v>0.32458715596330273</v>
      </c>
      <c r="S18" s="180">
        <f t="shared" si="9"/>
        <v>188.78510083773497</v>
      </c>
      <c r="T18" s="180">
        <f t="shared" si="10"/>
        <v>15</v>
      </c>
      <c r="U18" s="225">
        <f t="shared" si="11"/>
        <v>0.19357923497267757</v>
      </c>
      <c r="V18" s="225">
        <f t="shared" si="12"/>
        <v>0.64526411657559191</v>
      </c>
      <c r="W18" s="225">
        <f t="shared" si="13"/>
        <v>0.50774881304308872</v>
      </c>
      <c r="X18" s="205">
        <f t="shared" si="14"/>
        <v>350</v>
      </c>
      <c r="Y18" s="456">
        <f t="shared" si="47"/>
        <v>350</v>
      </c>
      <c r="AA18" s="225">
        <f t="shared" si="15"/>
        <v>0.47968545216251629</v>
      </c>
      <c r="AB18" s="181">
        <f t="shared" si="16"/>
        <v>1.258191349934469</v>
      </c>
      <c r="AC18" s="181">
        <f t="shared" si="17"/>
        <v>0.10561881515504945</v>
      </c>
      <c r="AD18" s="181"/>
      <c r="AE18" s="181">
        <f t="shared" si="18"/>
        <v>0.76065573770491812</v>
      </c>
      <c r="AF18" s="565">
        <f t="shared" si="61"/>
        <v>353.59690844233057</v>
      </c>
      <c r="AG18" s="548">
        <f t="shared" si="19"/>
        <v>3.8603278688524589E-2</v>
      </c>
      <c r="AI18" s="181">
        <f t="shared" si="20"/>
        <v>0.30725357915695939</v>
      </c>
      <c r="AJ18" s="181">
        <f t="shared" si="21"/>
        <v>0.30725357915695939</v>
      </c>
      <c r="AK18" s="181">
        <f t="shared" si="22"/>
        <v>1.2127804290051551</v>
      </c>
      <c r="AM18" s="565">
        <f t="shared" si="23"/>
        <v>39</v>
      </c>
      <c r="AN18" s="474">
        <f t="shared" si="24"/>
        <v>350</v>
      </c>
      <c r="AP18">
        <f t="shared" si="25"/>
        <v>39</v>
      </c>
      <c r="AQ18" s="474">
        <f t="shared" si="26"/>
        <v>350</v>
      </c>
      <c r="AR18" s="474"/>
      <c r="AS18" s="6">
        <f t="shared" si="48"/>
        <v>2.8571428571428572</v>
      </c>
      <c r="AT18" s="6">
        <f t="shared" si="27"/>
        <v>1.0241785971898647</v>
      </c>
      <c r="AU18" s="6">
        <f t="shared" si="49"/>
        <v>1.8329642599529925</v>
      </c>
      <c r="AV18" s="6">
        <f t="shared" si="28"/>
        <v>0.80591102729694275</v>
      </c>
      <c r="AW18" s="181">
        <f t="shared" si="50"/>
        <v>0.35846250901645266</v>
      </c>
      <c r="AX18" s="181">
        <f t="shared" si="29"/>
        <v>0.66083333333333338</v>
      </c>
      <c r="AY18" s="181">
        <f t="shared" si="30"/>
        <v>9.8557345134035246E-2</v>
      </c>
      <c r="AZ18" s="181">
        <f t="shared" si="51"/>
        <v>6.7050642692801681</v>
      </c>
      <c r="BA18" s="474">
        <f t="shared" si="31"/>
        <v>0.26628643526936485</v>
      </c>
      <c r="BB18" s="6">
        <f t="shared" si="32"/>
        <v>0.16547594013464512</v>
      </c>
      <c r="BC18" s="6"/>
      <c r="BD18" s="181">
        <f t="shared" si="52"/>
        <v>0.10620823542375261</v>
      </c>
      <c r="BE18" s="181">
        <f t="shared" si="33"/>
        <v>0.14208470957997807</v>
      </c>
      <c r="BF18" s="181"/>
      <c r="BG18" s="548">
        <f t="shared" si="34"/>
        <v>3.9480662451395407E-3</v>
      </c>
      <c r="BH18" s="548">
        <f t="shared" si="35"/>
        <v>2.9304310112095E-2</v>
      </c>
      <c r="BI18" s="548">
        <f t="shared" si="36"/>
        <v>4.3749999999999995E-3</v>
      </c>
      <c r="BJ18" s="548">
        <f t="shared" si="37"/>
        <v>1.49440703125E-2</v>
      </c>
      <c r="BK18">
        <f t="shared" si="38"/>
        <v>3.48E-3</v>
      </c>
      <c r="BL18" s="474">
        <f t="shared" si="53"/>
        <v>56.051446669734538</v>
      </c>
      <c r="BM18" s="548">
        <f t="shared" si="54"/>
        <v>1.3649999999999999E-2</v>
      </c>
      <c r="BN18" s="548"/>
      <c r="BP18" s="474">
        <f t="shared" si="55"/>
        <v>13.649999999999999</v>
      </c>
      <c r="BQ18" s="548">
        <f t="shared" si="39"/>
        <v>0</v>
      </c>
      <c r="BR18" s="548">
        <f t="shared" si="40"/>
        <v>0</v>
      </c>
      <c r="BS18" s="548">
        <f t="shared" si="41"/>
        <v>5.9962881113428202E-3</v>
      </c>
      <c r="BT18" s="548">
        <f t="shared" si="42"/>
        <v>3.4693750000000009E-2</v>
      </c>
      <c r="BU18" s="474">
        <f t="shared" si="56"/>
        <v>40.69003811134283</v>
      </c>
      <c r="BV18" s="181">
        <f t="shared" si="57"/>
        <v>0.11039148478107737</v>
      </c>
      <c r="BW18" s="6">
        <f t="shared" si="58"/>
        <v>0.58499999999999996</v>
      </c>
      <c r="BX18" s="181">
        <f t="shared" si="59"/>
        <v>0.84125275158376323</v>
      </c>
      <c r="BY18" s="6">
        <f t="shared" si="60"/>
        <v>84.125275158376326</v>
      </c>
      <c r="CB18" s="583">
        <f t="shared" si="43"/>
        <v>-50</v>
      </c>
      <c r="CC18">
        <f t="shared" si="44"/>
        <v>-50</v>
      </c>
    </row>
    <row r="19" spans="5:81" x14ac:dyDescent="0.2">
      <c r="E19" s="178">
        <v>14</v>
      </c>
      <c r="F19" s="225">
        <f t="shared" si="45"/>
        <v>4.2000000000000003E-2</v>
      </c>
      <c r="G19" s="225"/>
      <c r="H19" s="225">
        <f t="shared" si="0"/>
        <v>0.63</v>
      </c>
      <c r="I19" s="561">
        <f t="shared" si="1"/>
        <v>12</v>
      </c>
      <c r="J19" s="180">
        <f t="shared" si="2"/>
        <v>15.25</v>
      </c>
      <c r="K19" s="456">
        <f t="shared" si="3"/>
        <v>27.25</v>
      </c>
      <c r="L19" s="456"/>
      <c r="M19" s="225">
        <f t="shared" si="4"/>
        <v>0.55963302752293576</v>
      </c>
      <c r="N19" s="180">
        <f t="shared" si="5"/>
        <v>4.3819266055045869</v>
      </c>
      <c r="O19" s="180">
        <f t="shared" si="46"/>
        <v>0.63</v>
      </c>
      <c r="P19" s="225">
        <f t="shared" si="6"/>
        <v>0.29212844036697244</v>
      </c>
      <c r="Q19" s="225">
        <f t="shared" si="7"/>
        <v>15</v>
      </c>
      <c r="R19" s="225">
        <f t="shared" si="8"/>
        <v>0.32458715596330273</v>
      </c>
      <c r="S19" s="180">
        <f t="shared" si="9"/>
        <v>174.44574414227847</v>
      </c>
      <c r="T19" s="180">
        <f t="shared" si="10"/>
        <v>15</v>
      </c>
      <c r="U19" s="225">
        <f t="shared" si="11"/>
        <v>0.20846994535519126</v>
      </c>
      <c r="V19" s="225">
        <f t="shared" si="12"/>
        <v>0.69489981785063759</v>
      </c>
      <c r="W19" s="225">
        <f t="shared" si="13"/>
        <v>0.5468064140464034</v>
      </c>
      <c r="X19" s="205">
        <f t="shared" si="14"/>
        <v>350</v>
      </c>
      <c r="Y19" s="456">
        <f t="shared" si="47"/>
        <v>350</v>
      </c>
      <c r="AA19" s="225">
        <f t="shared" si="15"/>
        <v>0.47968545216251629</v>
      </c>
      <c r="AB19" s="181">
        <f t="shared" si="16"/>
        <v>1.258191349934469</v>
      </c>
      <c r="AC19" s="181">
        <f t="shared" si="17"/>
        <v>0.10561881515504945</v>
      </c>
      <c r="AD19" s="181"/>
      <c r="AE19" s="181">
        <f t="shared" si="18"/>
        <v>0.76065573770491812</v>
      </c>
      <c r="AF19" s="565">
        <f t="shared" si="61"/>
        <v>380.79667063020219</v>
      </c>
      <c r="AG19" s="548">
        <f t="shared" si="19"/>
        <v>3.8603278688524589E-2</v>
      </c>
      <c r="AI19" s="181">
        <f t="shared" si="20"/>
        <v>0.31885210782848317</v>
      </c>
      <c r="AJ19" s="181">
        <f t="shared" si="21"/>
        <v>0.31885210782848317</v>
      </c>
      <c r="AK19" s="181">
        <f t="shared" si="22"/>
        <v>1.2213719317248024</v>
      </c>
      <c r="AM19" s="565">
        <f t="shared" si="23"/>
        <v>42</v>
      </c>
      <c r="AN19" s="474">
        <f t="shared" si="24"/>
        <v>350</v>
      </c>
      <c r="AP19">
        <f t="shared" si="25"/>
        <v>42</v>
      </c>
      <c r="AQ19" s="474">
        <f t="shared" si="26"/>
        <v>350</v>
      </c>
      <c r="AR19" s="474"/>
      <c r="AS19" s="6">
        <f t="shared" si="48"/>
        <v>2.8571428571428572</v>
      </c>
      <c r="AT19" s="6">
        <f t="shared" si="27"/>
        <v>1.0628403594282771</v>
      </c>
      <c r="AU19" s="6">
        <f t="shared" si="49"/>
        <v>1.7943024977145801</v>
      </c>
      <c r="AV19" s="6">
        <f t="shared" si="28"/>
        <v>0.8363333975829067</v>
      </c>
      <c r="AW19" s="181">
        <f t="shared" si="50"/>
        <v>0.37199412579989699</v>
      </c>
      <c r="AX19" s="181">
        <f t="shared" si="29"/>
        <v>0.71166666666666656</v>
      </c>
      <c r="AY19" s="181">
        <f t="shared" si="30"/>
        <v>0.10012049835868604</v>
      </c>
      <c r="AZ19" s="181">
        <f t="shared" si="51"/>
        <v>7.1081015210001226</v>
      </c>
      <c r="BA19" s="474">
        <f t="shared" si="31"/>
        <v>0.29759530063991763</v>
      </c>
      <c r="BB19" s="6">
        <f t="shared" si="32"/>
        <v>0.17444607616669525</v>
      </c>
      <c r="BC19" s="6"/>
      <c r="BD19" s="181">
        <f t="shared" si="52"/>
        <v>0.11227852687202511</v>
      </c>
      <c r="BE19" s="181">
        <f t="shared" si="33"/>
        <v>0.14588495910249563</v>
      </c>
      <c r="BF19" s="181"/>
      <c r="BG19" s="548">
        <f t="shared" si="34"/>
        <v>4.4122636587932218E-3</v>
      </c>
      <c r="BH19" s="548">
        <f t="shared" si="35"/>
        <v>3.0410519784141578E-2</v>
      </c>
      <c r="BI19" s="548">
        <f t="shared" si="36"/>
        <v>4.3749999999999995E-3</v>
      </c>
      <c r="BJ19" s="548">
        <f t="shared" si="37"/>
        <v>1.49440703125E-2</v>
      </c>
      <c r="BK19">
        <f t="shared" si="38"/>
        <v>3.48E-3</v>
      </c>
      <c r="BL19" s="474">
        <f t="shared" si="53"/>
        <v>57.621853755434799</v>
      </c>
      <c r="BM19" s="548">
        <f t="shared" si="54"/>
        <v>1.47E-2</v>
      </c>
      <c r="BN19" s="548"/>
      <c r="BP19" s="474">
        <f t="shared" si="55"/>
        <v>14.7</v>
      </c>
      <c r="BQ19" s="548">
        <f t="shared" si="39"/>
        <v>0</v>
      </c>
      <c r="BR19" s="548">
        <f t="shared" si="40"/>
        <v>0</v>
      </c>
      <c r="BS19" s="548">
        <f t="shared" si="41"/>
        <v>6.5782950108528165E-3</v>
      </c>
      <c r="BT19" s="548">
        <f t="shared" si="42"/>
        <v>3.73625E-2</v>
      </c>
      <c r="BU19" s="474">
        <f t="shared" si="56"/>
        <v>43.940795010852817</v>
      </c>
      <c r="BV19" s="181">
        <f t="shared" si="57"/>
        <v>0.11626264876628761</v>
      </c>
      <c r="BW19" s="6">
        <f t="shared" si="58"/>
        <v>0.63</v>
      </c>
      <c r="BX19" s="181">
        <f t="shared" si="59"/>
        <v>0.84420679641612562</v>
      </c>
      <c r="BY19" s="6">
        <f t="shared" si="60"/>
        <v>84.420679641612566</v>
      </c>
      <c r="CB19" s="583">
        <f t="shared" si="43"/>
        <v>-50</v>
      </c>
      <c r="CC19">
        <f t="shared" si="44"/>
        <v>-50</v>
      </c>
    </row>
    <row r="20" spans="5:81" x14ac:dyDescent="0.2">
      <c r="E20" s="178">
        <v>15</v>
      </c>
      <c r="F20" s="225">
        <f t="shared" si="45"/>
        <v>4.4999999999999998E-2</v>
      </c>
      <c r="G20" s="225"/>
      <c r="H20" s="225">
        <f t="shared" si="0"/>
        <v>0.67499999999999993</v>
      </c>
      <c r="I20" s="561">
        <f t="shared" si="1"/>
        <v>12</v>
      </c>
      <c r="J20" s="180">
        <f t="shared" si="2"/>
        <v>15.25</v>
      </c>
      <c r="K20" s="456">
        <f t="shared" si="3"/>
        <v>27.25</v>
      </c>
      <c r="L20" s="456"/>
      <c r="M20" s="225">
        <f t="shared" si="4"/>
        <v>0.55963302752293576</v>
      </c>
      <c r="N20" s="180">
        <f t="shared" si="5"/>
        <v>4.3819266055045869</v>
      </c>
      <c r="O20" s="180">
        <f t="shared" si="46"/>
        <v>0.67499999999999993</v>
      </c>
      <c r="P20" s="225">
        <f t="shared" si="6"/>
        <v>0.29212844036697244</v>
      </c>
      <c r="Q20" s="225">
        <f t="shared" si="7"/>
        <v>15</v>
      </c>
      <c r="R20" s="225">
        <f t="shared" si="8"/>
        <v>0.32458715596330273</v>
      </c>
      <c r="S20" s="180">
        <f t="shared" si="9"/>
        <v>162.01848787795606</v>
      </c>
      <c r="T20" s="180">
        <f t="shared" si="10"/>
        <v>15</v>
      </c>
      <c r="U20" s="225">
        <f t="shared" si="11"/>
        <v>0.22336065573770489</v>
      </c>
      <c r="V20" s="225">
        <f t="shared" si="12"/>
        <v>0.74453551912568305</v>
      </c>
      <c r="W20" s="225">
        <f t="shared" si="13"/>
        <v>0.58586401504971786</v>
      </c>
      <c r="X20" s="205">
        <f t="shared" si="14"/>
        <v>350</v>
      </c>
      <c r="Y20" s="456">
        <f t="shared" si="47"/>
        <v>350</v>
      </c>
      <c r="AA20" s="225">
        <f t="shared" si="15"/>
        <v>0.47968545216251629</v>
      </c>
      <c r="AB20" s="181">
        <f t="shared" si="16"/>
        <v>1.258191349934469</v>
      </c>
      <c r="AC20" s="181">
        <f t="shared" si="17"/>
        <v>0.10561881515504945</v>
      </c>
      <c r="AD20" s="181"/>
      <c r="AE20" s="181">
        <f t="shared" si="18"/>
        <v>0.76065573770491812</v>
      </c>
      <c r="AF20" s="565">
        <f t="shared" si="61"/>
        <v>407.99643281807374</v>
      </c>
      <c r="AG20" s="548">
        <f t="shared" si="19"/>
        <v>3.8603278688524589E-2</v>
      </c>
      <c r="AI20" s="181">
        <f t="shared" si="20"/>
        <v>0.33004328720422632</v>
      </c>
      <c r="AJ20" s="181">
        <f t="shared" si="21"/>
        <v>0.33004328720422632</v>
      </c>
      <c r="AK20" s="181">
        <f t="shared" si="22"/>
        <v>1.2296616942253529</v>
      </c>
      <c r="AM20" s="565">
        <f t="shared" si="23"/>
        <v>45</v>
      </c>
      <c r="AN20" s="474">
        <f t="shared" si="24"/>
        <v>350</v>
      </c>
      <c r="AP20">
        <f t="shared" si="25"/>
        <v>45</v>
      </c>
      <c r="AQ20" s="474">
        <f t="shared" si="26"/>
        <v>350</v>
      </c>
      <c r="AR20" s="474"/>
      <c r="AS20" s="6">
        <f t="shared" si="48"/>
        <v>2.8571428571428572</v>
      </c>
      <c r="AT20" s="6">
        <f t="shared" si="27"/>
        <v>1.1001442906807544</v>
      </c>
      <c r="AU20" s="6">
        <f t="shared" si="49"/>
        <v>1.7569985664621028</v>
      </c>
      <c r="AV20" s="6">
        <f t="shared" si="28"/>
        <v>0.86568731069961014</v>
      </c>
      <c r="AW20" s="181">
        <f t="shared" si="50"/>
        <v>0.38505050173826399</v>
      </c>
      <c r="AX20" s="181">
        <f t="shared" si="29"/>
        <v>0.76250000000000007</v>
      </c>
      <c r="AY20" s="181">
        <f t="shared" si="30"/>
        <v>0.10147997693544651</v>
      </c>
      <c r="AZ20" s="181">
        <f t="shared" si="51"/>
        <v>7.513797529585978</v>
      </c>
      <c r="BA20" s="474">
        <f t="shared" si="31"/>
        <v>0.33004328720422632</v>
      </c>
      <c r="BB20" s="6">
        <f t="shared" si="32"/>
        <v>0.18302068400646901</v>
      </c>
      <c r="BC20" s="6"/>
      <c r="BD20" s="181">
        <f t="shared" si="52"/>
        <v>0.11824128027357698</v>
      </c>
      <c r="BE20" s="181">
        <f t="shared" si="33"/>
        <v>0.14942731828146158</v>
      </c>
      <c r="BF20" s="181"/>
      <c r="BG20" s="548">
        <f t="shared" si="34"/>
        <v>4.893350126257104E-3</v>
      </c>
      <c r="BH20" s="548">
        <f t="shared" si="35"/>
        <v>3.1477878517103083E-2</v>
      </c>
      <c r="BI20" s="548">
        <f t="shared" si="36"/>
        <v>4.3749999999999995E-3</v>
      </c>
      <c r="BJ20" s="548">
        <f t="shared" si="37"/>
        <v>1.49440703125E-2</v>
      </c>
      <c r="BK20">
        <f t="shared" si="38"/>
        <v>3.48E-3</v>
      </c>
      <c r="BL20" s="474">
        <f t="shared" si="53"/>
        <v>59.170298955860183</v>
      </c>
      <c r="BM20" s="548">
        <f t="shared" si="54"/>
        <v>1.575E-2</v>
      </c>
      <c r="BN20" s="548"/>
      <c r="BP20" s="474">
        <f t="shared" si="55"/>
        <v>15.75</v>
      </c>
      <c r="BQ20" s="548">
        <f t="shared" si="39"/>
        <v>0</v>
      </c>
      <c r="BR20" s="548">
        <f t="shared" si="40"/>
        <v>0</v>
      </c>
      <c r="BS20" s="548">
        <f t="shared" si="41"/>
        <v>7.1707961265436836E-3</v>
      </c>
      <c r="BT20" s="548">
        <f t="shared" si="42"/>
        <v>4.0031249999999997E-2</v>
      </c>
      <c r="BU20" s="474">
        <f t="shared" si="56"/>
        <v>47.202046126543685</v>
      </c>
      <c r="BV20" s="181">
        <f t="shared" si="57"/>
        <v>0.12212234508240388</v>
      </c>
      <c r="BW20" s="6">
        <f t="shared" si="58"/>
        <v>0.67499999999999993</v>
      </c>
      <c r="BX20" s="181">
        <f t="shared" si="59"/>
        <v>0.84679598328186456</v>
      </c>
      <c r="BY20" s="6">
        <f t="shared" si="60"/>
        <v>84.679598328186458</v>
      </c>
      <c r="CB20" s="583">
        <f t="shared" si="43"/>
        <v>-50</v>
      </c>
      <c r="CC20">
        <f t="shared" si="44"/>
        <v>-50</v>
      </c>
    </row>
    <row r="21" spans="5:81" s="78" customFormat="1" x14ac:dyDescent="0.2">
      <c r="E21" s="197">
        <v>16</v>
      </c>
      <c r="F21" s="337">
        <f t="shared" si="45"/>
        <v>4.8000000000000001E-2</v>
      </c>
      <c r="G21" s="225"/>
      <c r="H21" s="225">
        <f t="shared" si="0"/>
        <v>0.72</v>
      </c>
      <c r="I21" s="561">
        <f t="shared" si="1"/>
        <v>12</v>
      </c>
      <c r="J21" s="180">
        <f t="shared" si="2"/>
        <v>15.25</v>
      </c>
      <c r="K21" s="555">
        <f t="shared" si="3"/>
        <v>27.25</v>
      </c>
      <c r="L21" s="555"/>
      <c r="M21" s="337">
        <f t="shared" si="4"/>
        <v>0.55963302752293576</v>
      </c>
      <c r="N21" s="180">
        <f t="shared" si="5"/>
        <v>4.3819266055045869</v>
      </c>
      <c r="O21" s="180">
        <f t="shared" si="46"/>
        <v>0.72</v>
      </c>
      <c r="P21" s="337">
        <f t="shared" si="6"/>
        <v>0.29212844036697244</v>
      </c>
      <c r="Q21" s="225">
        <f t="shared" si="7"/>
        <v>15</v>
      </c>
      <c r="R21" s="225">
        <f t="shared" si="8"/>
        <v>0.32458715596330273</v>
      </c>
      <c r="S21" s="180">
        <f t="shared" si="9"/>
        <v>151.14481573797872</v>
      </c>
      <c r="T21" s="180">
        <f t="shared" si="10"/>
        <v>15</v>
      </c>
      <c r="U21" s="225">
        <f t="shared" si="11"/>
        <v>0.23825136612021855</v>
      </c>
      <c r="V21" s="337">
        <f t="shared" si="12"/>
        <v>0.79417122040072863</v>
      </c>
      <c r="W21" s="225">
        <f t="shared" si="13"/>
        <v>0.62492161605303231</v>
      </c>
      <c r="X21" s="557">
        <f t="shared" si="14"/>
        <v>350</v>
      </c>
      <c r="Y21" s="555">
        <f t="shared" si="47"/>
        <v>350</v>
      </c>
      <c r="AA21" s="337">
        <f t="shared" si="15"/>
        <v>0.47968545216251629</v>
      </c>
      <c r="AB21" s="181">
        <f t="shared" si="16"/>
        <v>1.258191349934469</v>
      </c>
      <c r="AC21" s="558">
        <f t="shared" si="17"/>
        <v>0.10561881515504945</v>
      </c>
      <c r="AD21" s="558"/>
      <c r="AE21" s="181">
        <f t="shared" si="18"/>
        <v>0.76065573770491812</v>
      </c>
      <c r="AF21" s="565">
        <f t="shared" si="61"/>
        <v>435.1961950059453</v>
      </c>
      <c r="AG21" s="548">
        <f t="shared" si="19"/>
        <v>3.8603278688524589E-2</v>
      </c>
      <c r="AH21"/>
      <c r="AI21" s="181">
        <f t="shared" si="20"/>
        <v>0.34086724129853868</v>
      </c>
      <c r="AJ21" s="181">
        <f t="shared" si="21"/>
        <v>0.34086724129853868</v>
      </c>
      <c r="AK21" s="181">
        <f t="shared" si="22"/>
        <v>1.2376794379989176</v>
      </c>
      <c r="AM21" s="565">
        <f t="shared" si="23"/>
        <v>48</v>
      </c>
      <c r="AN21" s="474">
        <f t="shared" si="24"/>
        <v>350</v>
      </c>
      <c r="AP21">
        <f t="shared" si="25"/>
        <v>48</v>
      </c>
      <c r="AQ21" s="474">
        <f t="shared" si="26"/>
        <v>350</v>
      </c>
      <c r="AR21" s="474"/>
      <c r="AS21" s="6">
        <f t="shared" si="48"/>
        <v>2.8571428571428572</v>
      </c>
      <c r="AT21" s="6">
        <f t="shared" si="27"/>
        <v>1.1362241376617959</v>
      </c>
      <c r="AU21" s="6">
        <f t="shared" si="49"/>
        <v>1.7209187194810613</v>
      </c>
      <c r="AV21" s="6">
        <f t="shared" si="28"/>
        <v>0.89407800996338027</v>
      </c>
      <c r="AW21" s="181">
        <f t="shared" si="50"/>
        <v>0.39767844818162856</v>
      </c>
      <c r="AX21" s="181">
        <f t="shared" si="29"/>
        <v>0.81333333333333335</v>
      </c>
      <c r="AY21" s="181">
        <f t="shared" si="30"/>
        <v>0.10265584287149154</v>
      </c>
      <c r="AZ21" s="181">
        <f t="shared" si="51"/>
        <v>7.9229132076923738</v>
      </c>
      <c r="BA21" s="474">
        <f t="shared" si="31"/>
        <v>0.3635917240517747</v>
      </c>
      <c r="BB21" s="6">
        <f t="shared" si="32"/>
        <v>0.19121319105345122</v>
      </c>
      <c r="BC21" s="6"/>
      <c r="BD21" s="181">
        <f t="shared" si="52"/>
        <v>0.12410539642432024</v>
      </c>
      <c r="BE21" s="181">
        <f t="shared" si="33"/>
        <v>0.15273509520906139</v>
      </c>
      <c r="BF21" s="181"/>
      <c r="BG21" s="548">
        <f t="shared" si="34"/>
        <v>5.390752297573187E-3</v>
      </c>
      <c r="BH21" s="548">
        <f t="shared" si="35"/>
        <v>3.2510213138848131E-2</v>
      </c>
      <c r="BI21" s="548">
        <f t="shared" si="36"/>
        <v>4.3749999999999995E-3</v>
      </c>
      <c r="BJ21" s="548">
        <f t="shared" si="37"/>
        <v>1.49440703125E-2</v>
      </c>
      <c r="BK21">
        <f t="shared" si="38"/>
        <v>3.48E-3</v>
      </c>
      <c r="BL21" s="474">
        <f t="shared" si="53"/>
        <v>60.700035748921316</v>
      </c>
      <c r="BM21" s="548">
        <f t="shared" si="54"/>
        <v>1.6799999999999999E-2</v>
      </c>
      <c r="BN21" s="548"/>
      <c r="BP21" s="474">
        <f t="shared" si="55"/>
        <v>16.8</v>
      </c>
      <c r="BQ21" s="548">
        <f t="shared" si="39"/>
        <v>0</v>
      </c>
      <c r="BR21" s="548">
        <f t="shared" si="40"/>
        <v>0</v>
      </c>
      <c r="BS21" s="548">
        <f t="shared" si="41"/>
        <v>7.7732615301058291E-3</v>
      </c>
      <c r="BT21" s="548">
        <f t="shared" si="42"/>
        <v>4.2700000000000002E-2</v>
      </c>
      <c r="BU21" s="474">
        <f t="shared" si="56"/>
        <v>50.47326153010583</v>
      </c>
      <c r="BV21" s="181">
        <f t="shared" si="57"/>
        <v>0.12797329727902712</v>
      </c>
      <c r="BW21" s="6">
        <f t="shared" si="58"/>
        <v>0.72</v>
      </c>
      <c r="BX21" s="181">
        <f t="shared" si="59"/>
        <v>0.84908334060793278</v>
      </c>
      <c r="BY21" s="6">
        <f t="shared" si="60"/>
        <v>84.90833406079328</v>
      </c>
      <c r="CB21" s="583">
        <f t="shared" si="43"/>
        <v>-50</v>
      </c>
      <c r="CC21">
        <f t="shared" si="44"/>
        <v>-50</v>
      </c>
    </row>
    <row r="22" spans="5:81" x14ac:dyDescent="0.2">
      <c r="E22" s="178">
        <v>17</v>
      </c>
      <c r="F22" s="225">
        <f t="shared" si="45"/>
        <v>5.1000000000000004E-2</v>
      </c>
      <c r="G22" s="225"/>
      <c r="H22" s="225">
        <f t="shared" si="0"/>
        <v>0.76500000000000001</v>
      </c>
      <c r="I22" s="561">
        <f t="shared" si="1"/>
        <v>12</v>
      </c>
      <c r="J22" s="180">
        <f t="shared" si="2"/>
        <v>15.25</v>
      </c>
      <c r="K22" s="456">
        <f t="shared" si="3"/>
        <v>27.25</v>
      </c>
      <c r="L22" s="456"/>
      <c r="M22" s="225">
        <f t="shared" si="4"/>
        <v>0.55963302752293576</v>
      </c>
      <c r="N22" s="180">
        <f t="shared" si="5"/>
        <v>4.3819266055045869</v>
      </c>
      <c r="O22" s="180">
        <f t="shared" si="46"/>
        <v>0.76500000000000001</v>
      </c>
      <c r="P22" s="225">
        <f t="shared" si="6"/>
        <v>0.29212844036697244</v>
      </c>
      <c r="Q22" s="225">
        <f t="shared" si="7"/>
        <v>15</v>
      </c>
      <c r="R22" s="225">
        <f t="shared" si="8"/>
        <v>0.32458715596330273</v>
      </c>
      <c r="S22" s="180">
        <f t="shared" si="9"/>
        <v>141.55056823845817</v>
      </c>
      <c r="T22" s="180">
        <f t="shared" si="10"/>
        <v>15</v>
      </c>
      <c r="U22" s="225">
        <f t="shared" si="11"/>
        <v>0.25314207650273224</v>
      </c>
      <c r="V22" s="225">
        <f t="shared" si="12"/>
        <v>0.8438069216757742</v>
      </c>
      <c r="W22" s="225">
        <f t="shared" si="13"/>
        <v>0.66397921705634688</v>
      </c>
      <c r="X22" s="205">
        <f t="shared" si="14"/>
        <v>350</v>
      </c>
      <c r="Y22" s="456">
        <f t="shared" si="47"/>
        <v>350</v>
      </c>
      <c r="AA22" s="225">
        <f t="shared" si="15"/>
        <v>0.47968545216251629</v>
      </c>
      <c r="AB22" s="181">
        <f t="shared" si="16"/>
        <v>1.258191349934469</v>
      </c>
      <c r="AC22" s="181">
        <f t="shared" si="17"/>
        <v>0.10561881515504945</v>
      </c>
      <c r="AD22" s="181"/>
      <c r="AE22" s="181">
        <f t="shared" si="18"/>
        <v>0.76065573770491812</v>
      </c>
      <c r="AF22" s="565">
        <f t="shared" si="61"/>
        <v>462.39595719381691</v>
      </c>
      <c r="AG22" s="548">
        <f t="shared" si="19"/>
        <v>3.8603278688524589E-2</v>
      </c>
      <c r="AI22" s="181">
        <f t="shared" si="20"/>
        <v>0.35135791004669437</v>
      </c>
      <c r="AJ22" s="181">
        <f t="shared" si="21"/>
        <v>0.35135791004669437</v>
      </c>
      <c r="AK22" s="181">
        <f t="shared" si="22"/>
        <v>1.245450303738292</v>
      </c>
      <c r="AM22" s="565">
        <f t="shared" si="23"/>
        <v>51.000000000000007</v>
      </c>
      <c r="AN22" s="474">
        <f t="shared" si="24"/>
        <v>350</v>
      </c>
      <c r="AP22">
        <f t="shared" si="25"/>
        <v>51.000000000000007</v>
      </c>
      <c r="AQ22" s="474">
        <f t="shared" si="26"/>
        <v>350</v>
      </c>
      <c r="AR22" s="474"/>
      <c r="AS22" s="6">
        <f t="shared" si="48"/>
        <v>2.8571428571428572</v>
      </c>
      <c r="AT22" s="6">
        <f t="shared" si="27"/>
        <v>1.1711930334889813</v>
      </c>
      <c r="AU22" s="6">
        <f t="shared" si="49"/>
        <v>1.6859498236538759</v>
      </c>
      <c r="AV22" s="6">
        <f t="shared" si="28"/>
        <v>0.92159451815526405</v>
      </c>
      <c r="AW22" s="181">
        <f t="shared" si="50"/>
        <v>0.40991756172114346</v>
      </c>
      <c r="AX22" s="181">
        <f t="shared" si="29"/>
        <v>0.86416666666666686</v>
      </c>
      <c r="AY22" s="181">
        <f t="shared" si="30"/>
        <v>0.10366506613445828</v>
      </c>
      <c r="AZ22" s="181">
        <f t="shared" si="51"/>
        <v>8.3361415652386075</v>
      </c>
      <c r="BA22" s="474">
        <f t="shared" si="31"/>
        <v>0.39820563138625364</v>
      </c>
      <c r="BB22" s="6">
        <f t="shared" si="32"/>
        <v>0.19903574307024921</v>
      </c>
      <c r="BC22" s="6"/>
      <c r="BD22" s="181">
        <f t="shared" si="52"/>
        <v>0.12987853169875013</v>
      </c>
      <c r="BE22" s="181">
        <f t="shared" si="33"/>
        <v>0.15582798418310626</v>
      </c>
      <c r="BF22" s="181"/>
      <c r="BG22" s="548">
        <f t="shared" si="34"/>
        <v>5.9039515486781343E-3</v>
      </c>
      <c r="BH22" s="548">
        <f t="shared" si="35"/>
        <v>3.3510760670703472E-2</v>
      </c>
      <c r="BI22" s="548">
        <f t="shared" si="36"/>
        <v>4.3749999999999995E-3</v>
      </c>
      <c r="BJ22" s="548">
        <f t="shared" si="37"/>
        <v>1.49440703125E-2</v>
      </c>
      <c r="BK22">
        <f t="shared" si="38"/>
        <v>3.48E-3</v>
      </c>
      <c r="BL22" s="474">
        <f t="shared" si="53"/>
        <v>62.213782531881606</v>
      </c>
      <c r="BM22" s="548">
        <f t="shared" si="54"/>
        <v>1.7850000000000001E-2</v>
      </c>
      <c r="BN22" s="548"/>
      <c r="BP22" s="474">
        <f t="shared" si="55"/>
        <v>17.850000000000001</v>
      </c>
      <c r="BQ22" s="548">
        <f t="shared" si="39"/>
        <v>0</v>
      </c>
      <c r="BR22" s="548">
        <f t="shared" si="40"/>
        <v>0</v>
      </c>
      <c r="BS22" s="548">
        <f t="shared" si="41"/>
        <v>8.3852198378351235E-3</v>
      </c>
      <c r="BT22" s="548">
        <f t="shared" si="42"/>
        <v>4.5368750000000006E-2</v>
      </c>
      <c r="BU22" s="474">
        <f t="shared" si="56"/>
        <v>53.753969837835136</v>
      </c>
      <c r="BV22" s="181">
        <f t="shared" si="57"/>
        <v>0.13381775236971674</v>
      </c>
      <c r="BW22" s="6">
        <f t="shared" si="58"/>
        <v>0.76500000000000001</v>
      </c>
      <c r="BX22" s="181">
        <f t="shared" si="59"/>
        <v>0.85111803586777335</v>
      </c>
      <c r="BY22" s="6">
        <f t="shared" si="60"/>
        <v>85.111803586777341</v>
      </c>
      <c r="CB22" s="583">
        <f t="shared" si="43"/>
        <v>-50</v>
      </c>
      <c r="CC22">
        <f t="shared" si="44"/>
        <v>-50</v>
      </c>
    </row>
    <row r="23" spans="5:81" x14ac:dyDescent="0.2">
      <c r="E23" s="178">
        <v>18</v>
      </c>
      <c r="F23" s="225">
        <f t="shared" si="45"/>
        <v>5.3999999999999999E-2</v>
      </c>
      <c r="G23" s="225"/>
      <c r="H23" s="225">
        <f t="shared" si="0"/>
        <v>0.80999999999999994</v>
      </c>
      <c r="I23" s="561">
        <f t="shared" si="1"/>
        <v>12</v>
      </c>
      <c r="J23" s="180">
        <f t="shared" si="2"/>
        <v>15.25</v>
      </c>
      <c r="K23" s="456">
        <f t="shared" si="3"/>
        <v>27.25</v>
      </c>
      <c r="L23" s="456"/>
      <c r="M23" s="225">
        <f t="shared" si="4"/>
        <v>0.55963302752293576</v>
      </c>
      <c r="N23" s="180">
        <f t="shared" si="5"/>
        <v>4.3819266055045869</v>
      </c>
      <c r="O23" s="180">
        <f t="shared" si="46"/>
        <v>0.80999999999999994</v>
      </c>
      <c r="P23" s="225">
        <f t="shared" si="6"/>
        <v>0.29212844036697244</v>
      </c>
      <c r="Q23" s="225">
        <f t="shared" si="7"/>
        <v>15</v>
      </c>
      <c r="R23" s="225">
        <f t="shared" si="8"/>
        <v>0.32458715596330273</v>
      </c>
      <c r="S23" s="180">
        <f t="shared" si="9"/>
        <v>133.02251026857644</v>
      </c>
      <c r="T23" s="180">
        <f t="shared" si="10"/>
        <v>15</v>
      </c>
      <c r="U23" s="225">
        <f t="shared" si="11"/>
        <v>0.26803278688524584</v>
      </c>
      <c r="V23" s="225">
        <f t="shared" si="12"/>
        <v>0.89344262295081944</v>
      </c>
      <c r="W23" s="225">
        <f t="shared" si="13"/>
        <v>0.70303681805966123</v>
      </c>
      <c r="X23" s="205">
        <f t="shared" si="14"/>
        <v>350</v>
      </c>
      <c r="Y23" s="456">
        <f t="shared" si="47"/>
        <v>350</v>
      </c>
      <c r="AA23" s="225">
        <f t="shared" si="15"/>
        <v>0.47968545216251629</v>
      </c>
      <c r="AB23" s="181">
        <f t="shared" si="16"/>
        <v>1.258191349934469</v>
      </c>
      <c r="AC23" s="181">
        <f t="shared" si="17"/>
        <v>0.10561881515504945</v>
      </c>
      <c r="AD23" s="181"/>
      <c r="AE23" s="181">
        <f t="shared" si="18"/>
        <v>0.76065573770491812</v>
      </c>
      <c r="AF23" s="565">
        <f t="shared" si="61"/>
        <v>489.59571938168847</v>
      </c>
      <c r="AG23" s="548">
        <f t="shared" si="19"/>
        <v>3.8603278688524589E-2</v>
      </c>
      <c r="AI23" s="181">
        <f t="shared" si="20"/>
        <v>0.36154430670982179</v>
      </c>
      <c r="AJ23" s="181">
        <f t="shared" si="21"/>
        <v>0.36154430670982179</v>
      </c>
      <c r="AK23" s="181">
        <f t="shared" si="22"/>
        <v>1.252995782748016</v>
      </c>
      <c r="AM23" s="565">
        <f t="shared" si="23"/>
        <v>54</v>
      </c>
      <c r="AN23" s="474">
        <f t="shared" si="24"/>
        <v>350</v>
      </c>
      <c r="AP23">
        <f t="shared" si="25"/>
        <v>54</v>
      </c>
      <c r="AQ23" s="474">
        <f t="shared" si="26"/>
        <v>350</v>
      </c>
      <c r="AR23" s="474"/>
      <c r="AS23" s="6">
        <f t="shared" si="48"/>
        <v>2.8571428571428572</v>
      </c>
      <c r="AT23" s="6">
        <f t="shared" si="27"/>
        <v>1.2051476890327395</v>
      </c>
      <c r="AU23" s="6">
        <f t="shared" si="49"/>
        <v>1.6519951681101177</v>
      </c>
      <c r="AV23" s="6">
        <f t="shared" si="28"/>
        <v>0.94831293563231955</v>
      </c>
      <c r="AW23" s="181">
        <f t="shared" si="50"/>
        <v>0.42180169116145882</v>
      </c>
      <c r="AX23" s="181">
        <f t="shared" si="29"/>
        <v>0.91499999999999992</v>
      </c>
      <c r="AY23" s="181">
        <f t="shared" si="30"/>
        <v>0.1045221533549109</v>
      </c>
      <c r="AZ23" s="181">
        <f t="shared" si="51"/>
        <v>8.7541250407754756</v>
      </c>
      <c r="BA23" s="474">
        <f t="shared" si="31"/>
        <v>0.43385316805178625</v>
      </c>
      <c r="BB23" s="6">
        <f t="shared" si="32"/>
        <v>0.20649939601376469</v>
      </c>
      <c r="BC23" s="6"/>
      <c r="BD23" s="181">
        <f t="shared" si="52"/>
        <v>0.13556733477408661</v>
      </c>
      <c r="BE23" s="181">
        <f t="shared" si="33"/>
        <v>0.15872279708245848</v>
      </c>
      <c r="BF23" s="181"/>
      <c r="BG23" s="548">
        <f t="shared" si="34"/>
        <v>6.4324757902122455E-3</v>
      </c>
      <c r="BH23" s="548">
        <f t="shared" si="35"/>
        <v>3.4482288252449256E-2</v>
      </c>
      <c r="BI23" s="548">
        <f t="shared" si="36"/>
        <v>4.3749999999999995E-3</v>
      </c>
      <c r="BJ23" s="548">
        <f t="shared" si="37"/>
        <v>1.49440703125E-2</v>
      </c>
      <c r="BK23">
        <f t="shared" si="38"/>
        <v>3.48E-3</v>
      </c>
      <c r="BL23" s="474">
        <f t="shared" si="53"/>
        <v>63.713834355161495</v>
      </c>
      <c r="BM23" s="548">
        <f t="shared" si="54"/>
        <v>1.89E-2</v>
      </c>
      <c r="BN23" s="548"/>
      <c r="BP23" s="474">
        <f t="shared" si="55"/>
        <v>18.899999999999999</v>
      </c>
      <c r="BQ23" s="548">
        <f t="shared" si="39"/>
        <v>0</v>
      </c>
      <c r="BR23" s="548">
        <f t="shared" si="40"/>
        <v>0</v>
      </c>
      <c r="BS23" s="548">
        <f t="shared" si="41"/>
        <v>9.0062486441489006E-3</v>
      </c>
      <c r="BT23" s="548">
        <f t="shared" si="42"/>
        <v>4.8037499999999997E-2</v>
      </c>
      <c r="BU23" s="474">
        <f t="shared" si="56"/>
        <v>57.043748644148899</v>
      </c>
      <c r="BV23" s="181">
        <f t="shared" si="57"/>
        <v>0.13965758299931039</v>
      </c>
      <c r="BW23" s="6">
        <f t="shared" si="58"/>
        <v>0.80999999999999994</v>
      </c>
      <c r="BX23" s="181">
        <f t="shared" si="59"/>
        <v>0.85293901138742145</v>
      </c>
      <c r="BY23" s="6">
        <f t="shared" si="60"/>
        <v>85.293901138742143</v>
      </c>
      <c r="CB23" s="583">
        <f t="shared" si="43"/>
        <v>-50</v>
      </c>
      <c r="CC23">
        <f t="shared" si="44"/>
        <v>-50</v>
      </c>
    </row>
    <row r="24" spans="5:81" x14ac:dyDescent="0.2">
      <c r="E24" s="178">
        <v>19</v>
      </c>
      <c r="F24" s="225">
        <f t="shared" si="45"/>
        <v>5.6999999999999995E-2</v>
      </c>
      <c r="G24" s="225"/>
      <c r="H24" s="225">
        <f t="shared" si="0"/>
        <v>0.85499999999999998</v>
      </c>
      <c r="I24" s="561">
        <f t="shared" si="1"/>
        <v>12</v>
      </c>
      <c r="J24" s="180">
        <f t="shared" si="2"/>
        <v>15.25</v>
      </c>
      <c r="K24" s="456">
        <f t="shared" si="3"/>
        <v>27.25</v>
      </c>
      <c r="L24" s="456"/>
      <c r="M24" s="225">
        <f t="shared" si="4"/>
        <v>0.55963302752293576</v>
      </c>
      <c r="N24" s="180">
        <f t="shared" si="5"/>
        <v>4.3819266055045869</v>
      </c>
      <c r="O24" s="180">
        <f t="shared" si="46"/>
        <v>0.85499999999999998</v>
      </c>
      <c r="P24" s="225">
        <f t="shared" si="6"/>
        <v>0.29212844036697244</v>
      </c>
      <c r="Q24" s="225">
        <f t="shared" si="7"/>
        <v>15</v>
      </c>
      <c r="R24" s="225">
        <f t="shared" si="8"/>
        <v>0.32458715596330273</v>
      </c>
      <c r="S24" s="180">
        <f t="shared" si="9"/>
        <v>125.39229836177921</v>
      </c>
      <c r="T24" s="180">
        <f t="shared" si="10"/>
        <v>15</v>
      </c>
      <c r="U24" s="225">
        <f t="shared" si="11"/>
        <v>0.28292349726775956</v>
      </c>
      <c r="V24" s="225">
        <f t="shared" si="12"/>
        <v>0.94307832422586535</v>
      </c>
      <c r="W24" s="225">
        <f t="shared" si="13"/>
        <v>0.74209441906297602</v>
      </c>
      <c r="X24" s="205">
        <f t="shared" si="14"/>
        <v>350</v>
      </c>
      <c r="Y24" s="456">
        <f t="shared" si="47"/>
        <v>350</v>
      </c>
      <c r="AA24" s="225">
        <f t="shared" si="15"/>
        <v>0.47968545216251629</v>
      </c>
      <c r="AB24" s="181">
        <f t="shared" si="16"/>
        <v>1.258191349934469</v>
      </c>
      <c r="AC24" s="181">
        <f t="shared" si="17"/>
        <v>0.10561881515504945</v>
      </c>
      <c r="AD24" s="181"/>
      <c r="AE24" s="181">
        <f t="shared" si="18"/>
        <v>0.76065573770491812</v>
      </c>
      <c r="AF24" s="565">
        <f t="shared" si="61"/>
        <v>516.79548156956002</v>
      </c>
      <c r="AG24" s="548">
        <f t="shared" si="19"/>
        <v>3.8603278688524589E-2</v>
      </c>
      <c r="AI24" s="181">
        <f t="shared" si="20"/>
        <v>0.37145146449595601</v>
      </c>
      <c r="AJ24" s="181">
        <f t="shared" si="21"/>
        <v>0.37145146449595601</v>
      </c>
      <c r="AK24" s="181">
        <f t="shared" si="22"/>
        <v>1.2603344181451526</v>
      </c>
      <c r="AM24" s="565">
        <f t="shared" si="23"/>
        <v>56.999999999999993</v>
      </c>
      <c r="AN24" s="474">
        <f t="shared" si="24"/>
        <v>350</v>
      </c>
      <c r="AP24">
        <f t="shared" si="25"/>
        <v>56.999999999999993</v>
      </c>
      <c r="AQ24" s="474">
        <f t="shared" si="26"/>
        <v>350</v>
      </c>
      <c r="AR24" s="474"/>
      <c r="AS24" s="6">
        <f t="shared" si="48"/>
        <v>2.8571428571428572</v>
      </c>
      <c r="AT24" s="6">
        <f t="shared" si="27"/>
        <v>1.2381715483198534</v>
      </c>
      <c r="AU24" s="6">
        <f t="shared" si="49"/>
        <v>1.6189713088230038</v>
      </c>
      <c r="AV24" s="6">
        <f t="shared" si="28"/>
        <v>0.97429892326808143</v>
      </c>
      <c r="AW24" s="181">
        <f t="shared" si="50"/>
        <v>0.43336004191194871</v>
      </c>
      <c r="AX24" s="181">
        <f t="shared" si="29"/>
        <v>0.96583333333333343</v>
      </c>
      <c r="AY24" s="181">
        <f t="shared" si="30"/>
        <v>0.10523962113686688</v>
      </c>
      <c r="AZ24" s="181">
        <f t="shared" si="51"/>
        <v>9.1774687413330938</v>
      </c>
      <c r="BA24" s="474">
        <f t="shared" si="31"/>
        <v>0.47050518836154426</v>
      </c>
      <c r="BB24" s="6">
        <f t="shared" si="32"/>
        <v>0.21361426991414631</v>
      </c>
      <c r="BC24" s="6"/>
      <c r="BD24" s="181">
        <f t="shared" si="52"/>
        <v>0.14117762769836317</v>
      </c>
      <c r="BE24" s="181">
        <f t="shared" si="33"/>
        <v>0.16143401416531103</v>
      </c>
      <c r="BF24" s="181"/>
      <c r="BG24" s="548">
        <f t="shared" si="34"/>
        <v>6.975892896888174E-3</v>
      </c>
      <c r="BH24" s="548">
        <f t="shared" si="35"/>
        <v>3.5427183426301807E-2</v>
      </c>
      <c r="BI24" s="548">
        <f t="shared" si="36"/>
        <v>4.3749999999999995E-3</v>
      </c>
      <c r="BJ24" s="548">
        <f t="shared" si="37"/>
        <v>1.49440703125E-2</v>
      </c>
      <c r="BK24">
        <f t="shared" si="38"/>
        <v>3.48E-3</v>
      </c>
      <c r="BL24" s="474">
        <f t="shared" si="53"/>
        <v>65.202146635689971</v>
      </c>
      <c r="BM24" s="548">
        <f t="shared" si="54"/>
        <v>1.9949999999999996E-2</v>
      </c>
      <c r="BN24" s="548"/>
      <c r="BP24" s="474">
        <f t="shared" si="55"/>
        <v>19.949999999999996</v>
      </c>
      <c r="BQ24" s="548">
        <f t="shared" si="39"/>
        <v>0</v>
      </c>
      <c r="BR24" s="548">
        <f t="shared" si="40"/>
        <v>0</v>
      </c>
      <c r="BS24" s="548">
        <f t="shared" si="41"/>
        <v>9.6359669683817473E-3</v>
      </c>
      <c r="BT24" s="548">
        <f t="shared" si="42"/>
        <v>5.0706250000000001E-2</v>
      </c>
      <c r="BU24" s="474">
        <f t="shared" si="56"/>
        <v>60.342216968381749</v>
      </c>
      <c r="BV24" s="181">
        <f t="shared" si="57"/>
        <v>0.14549436360407172</v>
      </c>
      <c r="BW24" s="6">
        <f t="shared" si="58"/>
        <v>0.85499999999999998</v>
      </c>
      <c r="BX24" s="181">
        <f t="shared" si="59"/>
        <v>0.85457752797331243</v>
      </c>
      <c r="BY24" s="6">
        <f t="shared" si="60"/>
        <v>85.457752797331239</v>
      </c>
      <c r="CB24" s="583">
        <f t="shared" si="43"/>
        <v>-50</v>
      </c>
      <c r="CC24">
        <f t="shared" si="44"/>
        <v>-50</v>
      </c>
    </row>
    <row r="25" spans="5:81" x14ac:dyDescent="0.2">
      <c r="E25" s="178">
        <v>20</v>
      </c>
      <c r="F25" s="225">
        <f t="shared" si="45"/>
        <v>0.06</v>
      </c>
      <c r="G25" s="225"/>
      <c r="H25" s="225">
        <f t="shared" si="0"/>
        <v>0.89999999999999991</v>
      </c>
      <c r="I25" s="561">
        <f t="shared" si="1"/>
        <v>12</v>
      </c>
      <c r="J25" s="180">
        <f t="shared" si="2"/>
        <v>15.25</v>
      </c>
      <c r="K25" s="456">
        <f t="shared" si="3"/>
        <v>27.25</v>
      </c>
      <c r="L25" s="456"/>
      <c r="M25" s="225">
        <f t="shared" si="4"/>
        <v>0.55963302752293576</v>
      </c>
      <c r="N25" s="180">
        <f t="shared" si="5"/>
        <v>4.3819266055045869</v>
      </c>
      <c r="O25" s="180">
        <f t="shared" si="46"/>
        <v>0.89999999999999991</v>
      </c>
      <c r="P25" s="225">
        <f t="shared" si="6"/>
        <v>0.29212844036697244</v>
      </c>
      <c r="Q25" s="225">
        <f t="shared" si="7"/>
        <v>15</v>
      </c>
      <c r="R25" s="225">
        <f t="shared" si="8"/>
        <v>0.32458715596330273</v>
      </c>
      <c r="S25" s="180">
        <f t="shared" si="9"/>
        <v>118.52525778563592</v>
      </c>
      <c r="T25" s="180">
        <f t="shared" si="10"/>
        <v>15</v>
      </c>
      <c r="U25" s="225">
        <f t="shared" si="11"/>
        <v>0.29781420765027317</v>
      </c>
      <c r="V25" s="225">
        <f t="shared" si="12"/>
        <v>0.9927140255009107</v>
      </c>
      <c r="W25" s="225">
        <f t="shared" si="13"/>
        <v>0.78115202006629036</v>
      </c>
      <c r="X25" s="205">
        <f t="shared" si="14"/>
        <v>350</v>
      </c>
      <c r="Y25" s="456">
        <f t="shared" si="47"/>
        <v>350</v>
      </c>
      <c r="AA25" s="225">
        <f t="shared" si="15"/>
        <v>0.47968545216251629</v>
      </c>
      <c r="AB25" s="181">
        <f t="shared" si="16"/>
        <v>1.258191349934469</v>
      </c>
      <c r="AC25" s="181">
        <f t="shared" si="17"/>
        <v>0.10561881515504945</v>
      </c>
      <c r="AD25" s="181"/>
      <c r="AE25" s="181">
        <f t="shared" si="18"/>
        <v>0.76065573770491812</v>
      </c>
      <c r="AF25" s="565">
        <f t="shared" si="61"/>
        <v>543.99524375743158</v>
      </c>
      <c r="AG25" s="548">
        <f t="shared" si="19"/>
        <v>3.8603278688524589E-2</v>
      </c>
      <c r="AI25" s="181">
        <f t="shared" si="20"/>
        <v>0.38110116142317807</v>
      </c>
      <c r="AJ25" s="181">
        <f t="shared" si="21"/>
        <v>0.38110116142317807</v>
      </c>
      <c r="AK25" s="181">
        <f t="shared" si="22"/>
        <v>1.2674823417949468</v>
      </c>
      <c r="AM25" s="565">
        <f t="shared" si="23"/>
        <v>60</v>
      </c>
      <c r="AN25" s="474">
        <f t="shared" si="24"/>
        <v>350</v>
      </c>
      <c r="AP25">
        <f t="shared" si="25"/>
        <v>60</v>
      </c>
      <c r="AQ25" s="474">
        <f t="shared" si="26"/>
        <v>350</v>
      </c>
      <c r="AR25" s="474"/>
      <c r="AS25" s="6">
        <f t="shared" si="48"/>
        <v>2.8571428571428572</v>
      </c>
      <c r="AT25" s="6">
        <f t="shared" si="27"/>
        <v>1.270337204743927</v>
      </c>
      <c r="AU25" s="6">
        <f t="shared" si="49"/>
        <v>1.5868056523989302</v>
      </c>
      <c r="AV25" s="6">
        <f t="shared" si="28"/>
        <v>0.99960960373292607</v>
      </c>
      <c r="AW25" s="181">
        <f t="shared" si="50"/>
        <v>0.44461802166037445</v>
      </c>
      <c r="AX25" s="181">
        <f t="shared" si="29"/>
        <v>1.0166666666666668</v>
      </c>
      <c r="AY25" s="181">
        <f t="shared" si="30"/>
        <v>0.10582835848936681</v>
      </c>
      <c r="AZ25" s="181">
        <f t="shared" si="51"/>
        <v>9.606750791365787</v>
      </c>
      <c r="BA25" s="474">
        <f t="shared" si="31"/>
        <v>0.50813488189757083</v>
      </c>
      <c r="BB25" s="6">
        <f t="shared" si="32"/>
        <v>0.22038967394429579</v>
      </c>
      <c r="BC25" s="6"/>
      <c r="BD25" s="181">
        <f t="shared" si="52"/>
        <v>0.14671454662539196</v>
      </c>
      <c r="BE25" s="181">
        <f t="shared" si="33"/>
        <v>0.16397420596302362</v>
      </c>
      <c r="BF25" s="181"/>
      <c r="BG25" s="548">
        <f t="shared" si="34"/>
        <v>7.5338053670230085E-3</v>
      </c>
      <c r="BH25" s="548">
        <f t="shared" si="35"/>
        <v>3.6347523270735607E-2</v>
      </c>
      <c r="BI25" s="548">
        <f t="shared" si="36"/>
        <v>4.3749999999999995E-3</v>
      </c>
      <c r="BJ25" s="548">
        <f t="shared" si="37"/>
        <v>1.49440703125E-2</v>
      </c>
      <c r="BK25">
        <f t="shared" si="38"/>
        <v>3.48E-3</v>
      </c>
      <c r="BL25" s="474">
        <f t="shared" si="53"/>
        <v>66.680398950258606</v>
      </c>
      <c r="BM25" s="548">
        <f t="shared" si="54"/>
        <v>2.0999999999999998E-2</v>
      </c>
      <c r="BN25" s="548"/>
      <c r="BP25" s="474">
        <f t="shared" si="55"/>
        <v>20.999999999999996</v>
      </c>
      <c r="BQ25" s="548">
        <f t="shared" si="39"/>
        <v>0</v>
      </c>
      <c r="BR25" s="548">
        <f t="shared" si="40"/>
        <v>0</v>
      </c>
      <c r="BS25" s="548">
        <f t="shared" si="41"/>
        <v>1.0274029206427417E-2</v>
      </c>
      <c r="BT25" s="548">
        <f t="shared" si="42"/>
        <v>5.3374999999999999E-2</v>
      </c>
      <c r="BU25" s="474">
        <f t="shared" si="56"/>
        <v>63.649029206427414</v>
      </c>
      <c r="BV25" s="181">
        <f t="shared" si="57"/>
        <v>0.15132942815668604</v>
      </c>
      <c r="BW25" s="6">
        <f t="shared" si="58"/>
        <v>0.89999999999999991</v>
      </c>
      <c r="BX25" s="181">
        <f t="shared" si="59"/>
        <v>0.85605898198625086</v>
      </c>
      <c r="BY25" s="6">
        <f t="shared" si="60"/>
        <v>85.605898198625084</v>
      </c>
      <c r="CB25" s="583">
        <f t="shared" si="43"/>
        <v>-50</v>
      </c>
      <c r="CC25">
        <f t="shared" si="44"/>
        <v>-50</v>
      </c>
    </row>
    <row r="26" spans="5:81" x14ac:dyDescent="0.2">
      <c r="E26" s="178">
        <v>21</v>
      </c>
      <c r="F26" s="225">
        <f t="shared" si="45"/>
        <v>6.3E-2</v>
      </c>
      <c r="G26" s="225"/>
      <c r="H26" s="225">
        <f t="shared" si="0"/>
        <v>0.94500000000000006</v>
      </c>
      <c r="I26" s="561">
        <f t="shared" si="1"/>
        <v>12</v>
      </c>
      <c r="J26" s="180">
        <f t="shared" si="2"/>
        <v>15.25</v>
      </c>
      <c r="K26" s="456">
        <f t="shared" si="3"/>
        <v>27.25</v>
      </c>
      <c r="L26" s="456"/>
      <c r="M26" s="225">
        <f t="shared" si="4"/>
        <v>0.55963302752293576</v>
      </c>
      <c r="N26" s="180">
        <f t="shared" si="5"/>
        <v>4.3819266055045869</v>
      </c>
      <c r="O26" s="180">
        <f t="shared" si="46"/>
        <v>0.94500000000000006</v>
      </c>
      <c r="P26" s="225">
        <f t="shared" si="6"/>
        <v>0.29212844036697244</v>
      </c>
      <c r="Q26" s="225">
        <f t="shared" si="7"/>
        <v>15</v>
      </c>
      <c r="R26" s="225">
        <f t="shared" si="8"/>
        <v>0.32458715596330273</v>
      </c>
      <c r="S26" s="180">
        <f t="shared" si="9"/>
        <v>112.31236617747774</v>
      </c>
      <c r="T26" s="180">
        <f t="shared" si="10"/>
        <v>15</v>
      </c>
      <c r="U26" s="225">
        <f t="shared" si="11"/>
        <v>0.31270491803278688</v>
      </c>
      <c r="V26" s="225">
        <f t="shared" si="12"/>
        <v>1.0423497267759565</v>
      </c>
      <c r="W26" s="225">
        <f t="shared" si="13"/>
        <v>0.82020962106960504</v>
      </c>
      <c r="X26" s="205">
        <f t="shared" si="14"/>
        <v>350</v>
      </c>
      <c r="Y26" s="456">
        <f t="shared" si="47"/>
        <v>350</v>
      </c>
      <c r="AA26" s="225">
        <f t="shared" si="15"/>
        <v>0.47968545216251629</v>
      </c>
      <c r="AB26" s="181">
        <f t="shared" si="16"/>
        <v>1.258191349934469</v>
      </c>
      <c r="AC26" s="181">
        <f t="shared" si="17"/>
        <v>0.10561881515504945</v>
      </c>
      <c r="AD26" s="181"/>
      <c r="AE26" s="181">
        <f t="shared" si="18"/>
        <v>0.76065573770491812</v>
      </c>
      <c r="AF26" s="565">
        <f t="shared" si="61"/>
        <v>571.19500594530325</v>
      </c>
      <c r="AG26" s="548">
        <f t="shared" si="19"/>
        <v>3.8603278688524589E-2</v>
      </c>
      <c r="AI26" s="181">
        <f t="shared" si="20"/>
        <v>0.39051248379533265</v>
      </c>
      <c r="AJ26" s="181">
        <f t="shared" si="21"/>
        <v>0.39051248379533265</v>
      </c>
      <c r="AK26" s="181">
        <f t="shared" si="22"/>
        <v>1.2744536917002465</v>
      </c>
      <c r="AM26" s="565">
        <f t="shared" si="23"/>
        <v>63</v>
      </c>
      <c r="AN26" s="474">
        <f t="shared" si="24"/>
        <v>350</v>
      </c>
      <c r="AP26">
        <f t="shared" si="25"/>
        <v>63</v>
      </c>
      <c r="AQ26" s="474">
        <f t="shared" si="26"/>
        <v>350</v>
      </c>
      <c r="AR26" s="474"/>
      <c r="AS26" s="6">
        <f t="shared" si="48"/>
        <v>2.8571428571428572</v>
      </c>
      <c r="AT26" s="6">
        <f t="shared" si="27"/>
        <v>1.3017082793177754</v>
      </c>
      <c r="AU26" s="6">
        <f t="shared" si="49"/>
        <v>1.5554345778250818</v>
      </c>
      <c r="AV26" s="6">
        <f t="shared" si="28"/>
        <v>1.0242950394631676</v>
      </c>
      <c r="AW26" s="181">
        <f t="shared" si="50"/>
        <v>0.45559789776122139</v>
      </c>
      <c r="AX26" s="181">
        <f t="shared" si="29"/>
        <v>1.0674999999999997</v>
      </c>
      <c r="AY26" s="181">
        <f t="shared" si="30"/>
        <v>0.10629790856433304</v>
      </c>
      <c r="AZ26" s="181">
        <f t="shared" si="51"/>
        <v>10.042530604954782</v>
      </c>
      <c r="BA26" s="474">
        <f t="shared" si="31"/>
        <v>0.54671747731346576</v>
      </c>
      <c r="BB26" s="6">
        <f t="shared" si="32"/>
        <v>0.22683420926615777</v>
      </c>
      <c r="BC26" s="6"/>
      <c r="BD26" s="181">
        <f t="shared" si="52"/>
        <v>0.1521826527658855</v>
      </c>
      <c r="BE26" s="181">
        <f t="shared" si="33"/>
        <v>0.16635436132086001</v>
      </c>
      <c r="BF26" s="181"/>
      <c r="BG26" s="548">
        <f t="shared" si="34"/>
        <v>8.1058459310017258E-3</v>
      </c>
      <c r="BH26" s="548">
        <f t="shared" si="35"/>
        <v>3.7245128141979854E-2</v>
      </c>
      <c r="BI26" s="548">
        <f t="shared" si="36"/>
        <v>4.3749999999999995E-3</v>
      </c>
      <c r="BJ26" s="548">
        <f t="shared" si="37"/>
        <v>1.49440703125E-2</v>
      </c>
      <c r="BK26">
        <f t="shared" si="38"/>
        <v>3.48E-3</v>
      </c>
      <c r="BL26" s="474">
        <f t="shared" si="53"/>
        <v>68.150044385481564</v>
      </c>
      <c r="BM26" s="548">
        <f t="shared" si="54"/>
        <v>2.205E-2</v>
      </c>
      <c r="BN26" s="548"/>
      <c r="BP26" s="474">
        <f t="shared" si="55"/>
        <v>22.05</v>
      </c>
      <c r="BQ26" s="548">
        <f t="shared" si="39"/>
        <v>0</v>
      </c>
      <c r="BR26" s="548">
        <f t="shared" si="40"/>
        <v>0</v>
      </c>
      <c r="BS26" s="548">
        <f t="shared" si="41"/>
        <v>1.0920120226448464E-2</v>
      </c>
      <c r="BT26" s="548">
        <f t="shared" si="42"/>
        <v>5.6043749999999982E-2</v>
      </c>
      <c r="BU26" s="474">
        <f t="shared" si="56"/>
        <v>66.963870226448449</v>
      </c>
      <c r="BV26" s="181">
        <f t="shared" si="57"/>
        <v>0.15716391461193002</v>
      </c>
      <c r="BW26" s="6">
        <f t="shared" si="58"/>
        <v>0.94500000000000006</v>
      </c>
      <c r="BX26" s="181">
        <f t="shared" si="59"/>
        <v>0.85740422769396574</v>
      </c>
      <c r="BY26" s="6">
        <f t="shared" si="60"/>
        <v>85.740422769396574</v>
      </c>
      <c r="CB26" s="583">
        <f t="shared" si="43"/>
        <v>-50</v>
      </c>
      <c r="CC26">
        <f t="shared" si="44"/>
        <v>-50</v>
      </c>
    </row>
    <row r="27" spans="5:81" x14ac:dyDescent="0.2">
      <c r="E27" s="178">
        <v>22</v>
      </c>
      <c r="F27" s="225">
        <f t="shared" si="45"/>
        <v>6.6000000000000003E-2</v>
      </c>
      <c r="G27" s="225"/>
      <c r="H27" s="225">
        <f t="shared" si="0"/>
        <v>0.99</v>
      </c>
      <c r="I27" s="561">
        <f t="shared" si="1"/>
        <v>12</v>
      </c>
      <c r="J27" s="180">
        <f t="shared" si="2"/>
        <v>15.25</v>
      </c>
      <c r="K27" s="456">
        <f t="shared" si="3"/>
        <v>27.25</v>
      </c>
      <c r="L27" s="456"/>
      <c r="M27" s="225">
        <f t="shared" si="4"/>
        <v>0.55963302752293576</v>
      </c>
      <c r="N27" s="180">
        <f t="shared" si="5"/>
        <v>4.3819266055045869</v>
      </c>
      <c r="O27" s="180">
        <f t="shared" si="46"/>
        <v>0.99</v>
      </c>
      <c r="P27" s="225">
        <f t="shared" si="6"/>
        <v>0.29212844036697244</v>
      </c>
      <c r="Q27" s="225">
        <f t="shared" si="7"/>
        <v>15</v>
      </c>
      <c r="R27" s="225">
        <f t="shared" si="8"/>
        <v>0.32458715596330273</v>
      </c>
      <c r="S27" s="180">
        <f t="shared" si="9"/>
        <v>106.6644234612486</v>
      </c>
      <c r="T27" s="180">
        <f t="shared" si="10"/>
        <v>15</v>
      </c>
      <c r="U27" s="225">
        <f t="shared" si="11"/>
        <v>0.32759562841530054</v>
      </c>
      <c r="V27" s="225">
        <f t="shared" si="12"/>
        <v>1.091985428051002</v>
      </c>
      <c r="W27" s="225">
        <f t="shared" si="13"/>
        <v>0.8592672220729195</v>
      </c>
      <c r="X27" s="205">
        <f t="shared" si="14"/>
        <v>350</v>
      </c>
      <c r="Y27" s="456">
        <f t="shared" si="47"/>
        <v>350</v>
      </c>
      <c r="AA27" s="225">
        <f t="shared" si="15"/>
        <v>0.47968545216251629</v>
      </c>
      <c r="AB27" s="181">
        <f t="shared" si="16"/>
        <v>1.258191349934469</v>
      </c>
      <c r="AC27" s="181">
        <f t="shared" si="17"/>
        <v>0.10561881515504945</v>
      </c>
      <c r="AD27" s="181"/>
      <c r="AE27" s="181">
        <f t="shared" si="18"/>
        <v>0.76065573770491812</v>
      </c>
      <c r="AF27" s="565">
        <f t="shared" si="61"/>
        <v>598.39476813317481</v>
      </c>
      <c r="AG27" s="548">
        <f t="shared" si="19"/>
        <v>3.8603278688524589E-2</v>
      </c>
      <c r="AI27" s="181">
        <f t="shared" si="20"/>
        <v>0.39970227014855042</v>
      </c>
      <c r="AJ27" s="181">
        <f t="shared" si="21"/>
        <v>0.39970227014855042</v>
      </c>
      <c r="AK27" s="181">
        <f t="shared" si="22"/>
        <v>1.281260940850778</v>
      </c>
      <c r="AM27" s="565">
        <f t="shared" si="23"/>
        <v>66</v>
      </c>
      <c r="AN27" s="474">
        <f t="shared" si="24"/>
        <v>350</v>
      </c>
      <c r="AP27">
        <f t="shared" si="25"/>
        <v>66</v>
      </c>
      <c r="AQ27" s="474">
        <f t="shared" si="26"/>
        <v>350</v>
      </c>
      <c r="AR27" s="474"/>
      <c r="AS27" s="6">
        <f t="shared" si="48"/>
        <v>2.8571428571428572</v>
      </c>
      <c r="AT27" s="6">
        <f t="shared" si="27"/>
        <v>1.3323409004951681</v>
      </c>
      <c r="AU27" s="6">
        <f t="shared" si="49"/>
        <v>1.5248019566476891</v>
      </c>
      <c r="AV27" s="6">
        <f t="shared" si="28"/>
        <v>1.0483993971109518</v>
      </c>
      <c r="AW27" s="181">
        <f t="shared" si="50"/>
        <v>0.46631931517330882</v>
      </c>
      <c r="AX27" s="181">
        <f t="shared" si="29"/>
        <v>1.1183333333333334</v>
      </c>
      <c r="AY27" s="181">
        <f t="shared" si="30"/>
        <v>0.10665669062983076</v>
      </c>
      <c r="AZ27" s="181">
        <f t="shared" si="51"/>
        <v>10.485355646507818</v>
      </c>
      <c r="BA27" s="474">
        <f t="shared" si="31"/>
        <v>0.58622999621787397</v>
      </c>
      <c r="BB27" s="6">
        <f t="shared" si="32"/>
        <v>0.23295585448784134</v>
      </c>
      <c r="BC27" s="6"/>
      <c r="BD27" s="181">
        <f t="shared" si="52"/>
        <v>0.15758602097410673</v>
      </c>
      <c r="BE27" s="181">
        <f t="shared" si="33"/>
        <v>0.16858414589609741</v>
      </c>
      <c r="BF27" s="181"/>
      <c r="BG27" s="548">
        <f t="shared" si="34"/>
        <v>8.6916739022580621E-3</v>
      </c>
      <c r="BH27" s="548">
        <f t="shared" si="35"/>
        <v>3.8121604015417997E-2</v>
      </c>
      <c r="BI27" s="548">
        <f t="shared" si="36"/>
        <v>4.3749999999999995E-3</v>
      </c>
      <c r="BJ27" s="548">
        <f t="shared" si="37"/>
        <v>1.49440703125E-2</v>
      </c>
      <c r="BK27">
        <f t="shared" si="38"/>
        <v>3.48E-3</v>
      </c>
      <c r="BL27" s="474">
        <f t="shared" si="53"/>
        <v>69.612348230176053</v>
      </c>
      <c r="BM27" s="548">
        <f t="shared" si="54"/>
        <v>2.3099999999999999E-2</v>
      </c>
      <c r="BN27" s="548"/>
      <c r="BP27" s="474">
        <f t="shared" si="55"/>
        <v>23.099999999999998</v>
      </c>
      <c r="BQ27" s="548">
        <f t="shared" si="39"/>
        <v>0</v>
      </c>
      <c r="BR27" s="548">
        <f t="shared" si="40"/>
        <v>0</v>
      </c>
      <c r="BS27" s="548">
        <f t="shared" si="41"/>
        <v>1.1573951347591295E-2</v>
      </c>
      <c r="BT27" s="548">
        <f t="shared" si="42"/>
        <v>5.8712500000000008E-2</v>
      </c>
      <c r="BU27" s="474">
        <f t="shared" si="56"/>
        <v>70.286451347591296</v>
      </c>
      <c r="BV27" s="181">
        <f t="shared" si="57"/>
        <v>0.16299879957776733</v>
      </c>
      <c r="BW27" s="6">
        <f t="shared" si="58"/>
        <v>0.99</v>
      </c>
      <c r="BX27" s="181">
        <f t="shared" si="59"/>
        <v>0.85863055569749236</v>
      </c>
      <c r="BY27" s="6">
        <f t="shared" si="60"/>
        <v>85.863055569749235</v>
      </c>
      <c r="CB27" s="583">
        <f t="shared" si="43"/>
        <v>-50</v>
      </c>
      <c r="CC27">
        <f t="shared" si="44"/>
        <v>-50</v>
      </c>
    </row>
    <row r="28" spans="5:81" x14ac:dyDescent="0.2">
      <c r="E28" s="178">
        <v>23</v>
      </c>
      <c r="F28" s="225">
        <f t="shared" si="45"/>
        <v>6.9000000000000006E-2</v>
      </c>
      <c r="G28" s="225"/>
      <c r="H28" s="225">
        <f t="shared" si="0"/>
        <v>1.0350000000000001</v>
      </c>
      <c r="I28" s="561">
        <f t="shared" si="1"/>
        <v>12</v>
      </c>
      <c r="J28" s="180">
        <f t="shared" si="2"/>
        <v>15.25</v>
      </c>
      <c r="K28" s="456">
        <f t="shared" si="3"/>
        <v>27.25</v>
      </c>
      <c r="L28" s="456"/>
      <c r="M28" s="225">
        <f t="shared" si="4"/>
        <v>0.55963302752293576</v>
      </c>
      <c r="N28" s="180">
        <f t="shared" si="5"/>
        <v>4.3819266055045869</v>
      </c>
      <c r="O28" s="180">
        <f t="shared" si="46"/>
        <v>1.0350000000000001</v>
      </c>
      <c r="P28" s="225">
        <f t="shared" si="6"/>
        <v>0.29212844036697244</v>
      </c>
      <c r="Q28" s="225">
        <f t="shared" si="7"/>
        <v>15</v>
      </c>
      <c r="R28" s="225">
        <f t="shared" si="8"/>
        <v>0.32458715596330273</v>
      </c>
      <c r="S28" s="180">
        <f t="shared" si="9"/>
        <v>101.50774265563579</v>
      </c>
      <c r="T28" s="180">
        <f t="shared" si="10"/>
        <v>15</v>
      </c>
      <c r="U28" s="225">
        <f t="shared" si="11"/>
        <v>0.3424863387978142</v>
      </c>
      <c r="V28" s="225">
        <f t="shared" si="12"/>
        <v>1.1416211293260474</v>
      </c>
      <c r="W28" s="225">
        <f t="shared" si="13"/>
        <v>0.89832482307623407</v>
      </c>
      <c r="X28" s="205">
        <f t="shared" si="14"/>
        <v>350</v>
      </c>
      <c r="Y28" s="456">
        <f t="shared" si="47"/>
        <v>350</v>
      </c>
      <c r="AA28" s="225">
        <f t="shared" si="15"/>
        <v>0.47968545216251629</v>
      </c>
      <c r="AB28" s="181">
        <f t="shared" si="16"/>
        <v>1.258191349934469</v>
      </c>
      <c r="AC28" s="181">
        <f t="shared" si="17"/>
        <v>0.10561881515504945</v>
      </c>
      <c r="AD28" s="181"/>
      <c r="AE28" s="181">
        <f t="shared" si="18"/>
        <v>0.76065573770491812</v>
      </c>
      <c r="AF28" s="565">
        <f t="shared" si="61"/>
        <v>625.59453032104636</v>
      </c>
      <c r="AG28" s="548">
        <f t="shared" si="19"/>
        <v>3.8603278688524589E-2</v>
      </c>
      <c r="AI28" s="181">
        <f t="shared" si="20"/>
        <v>0.40868546527104382</v>
      </c>
      <c r="AJ28" s="181">
        <f t="shared" si="21"/>
        <v>0.40868546527104382</v>
      </c>
      <c r="AK28" s="181">
        <f t="shared" si="22"/>
        <v>1.2879151594600324</v>
      </c>
      <c r="AM28" s="565">
        <f t="shared" si="23"/>
        <v>69</v>
      </c>
      <c r="AN28" s="474">
        <f t="shared" si="24"/>
        <v>350</v>
      </c>
      <c r="AP28">
        <f t="shared" si="25"/>
        <v>69</v>
      </c>
      <c r="AQ28" s="474">
        <f t="shared" si="26"/>
        <v>350</v>
      </c>
      <c r="AR28" s="474"/>
      <c r="AS28" s="6">
        <f t="shared" si="48"/>
        <v>2.8571428571428572</v>
      </c>
      <c r="AT28" s="6">
        <f t="shared" si="27"/>
        <v>1.3622848842368129</v>
      </c>
      <c r="AU28" s="6">
        <f t="shared" si="49"/>
        <v>1.4948579729060443</v>
      </c>
      <c r="AV28" s="6">
        <f t="shared" si="28"/>
        <v>1.0719618761207708</v>
      </c>
      <c r="AW28" s="181">
        <f t="shared" si="50"/>
        <v>0.47679970948288453</v>
      </c>
      <c r="AX28" s="181">
        <f t="shared" si="29"/>
        <v>1.1691666666666671</v>
      </c>
      <c r="AY28" s="181">
        <f t="shared" si="30"/>
        <v>0.10691217707996632</v>
      </c>
      <c r="AZ28" s="181">
        <f t="shared" si="51"/>
        <v>10.935767080976884</v>
      </c>
      <c r="BA28" s="474">
        <f t="shared" si="31"/>
        <v>0.62665104674893402</v>
      </c>
      <c r="BB28" s="6">
        <f t="shared" si="32"/>
        <v>0.23876203733915982</v>
      </c>
      <c r="BC28" s="6"/>
      <c r="BD28" s="181">
        <f t="shared" si="52"/>
        <v>0.16292831128820331</v>
      </c>
      <c r="BE28" s="181">
        <f t="shared" si="33"/>
        <v>0.17067210831116345</v>
      </c>
      <c r="BF28" s="181"/>
      <c r="BG28" s="548">
        <f t="shared" si="34"/>
        <v>9.2909721167289874E-3</v>
      </c>
      <c r="BH28" s="548">
        <f t="shared" si="35"/>
        <v>3.8978376250225807E-2</v>
      </c>
      <c r="BI28" s="548">
        <f t="shared" si="36"/>
        <v>4.3749999999999995E-3</v>
      </c>
      <c r="BJ28" s="548">
        <f t="shared" si="37"/>
        <v>1.49440703125E-2</v>
      </c>
      <c r="BK28">
        <f t="shared" si="38"/>
        <v>3.48E-3</v>
      </c>
      <c r="BL28" s="474">
        <f t="shared" si="53"/>
        <v>71.068418679454794</v>
      </c>
      <c r="BM28" s="548">
        <f t="shared" si="54"/>
        <v>2.4150000000000001E-2</v>
      </c>
      <c r="BN28" s="548"/>
      <c r="BP28" s="474">
        <f t="shared" si="55"/>
        <v>24.150000000000002</v>
      </c>
      <c r="BQ28" s="548">
        <f t="shared" si="39"/>
        <v>0</v>
      </c>
      <c r="BR28" s="548">
        <f t="shared" si="40"/>
        <v>0</v>
      </c>
      <c r="BS28" s="548">
        <f t="shared" si="41"/>
        <v>1.2235257009478471E-2</v>
      </c>
      <c r="BT28" s="548">
        <f t="shared" si="42"/>
        <v>6.1381250000000033E-2</v>
      </c>
      <c r="BU28" s="474">
        <f t="shared" si="56"/>
        <v>73.616507009478497</v>
      </c>
      <c r="BV28" s="181">
        <f t="shared" si="57"/>
        <v>0.1688349256889333</v>
      </c>
      <c r="BW28" s="6">
        <f t="shared" si="58"/>
        <v>1.0350000000000001</v>
      </c>
      <c r="BX28" s="181">
        <f t="shared" si="59"/>
        <v>0.85975242777383953</v>
      </c>
      <c r="BY28" s="6">
        <f t="shared" si="60"/>
        <v>85.975242777383954</v>
      </c>
      <c r="CB28" s="583">
        <f t="shared" si="43"/>
        <v>-50</v>
      </c>
      <c r="CC28">
        <f t="shared" si="44"/>
        <v>-50</v>
      </c>
    </row>
    <row r="29" spans="5:81" x14ac:dyDescent="0.2">
      <c r="E29" s="178">
        <v>24</v>
      </c>
      <c r="F29" s="225">
        <f t="shared" si="45"/>
        <v>7.1999999999999995E-2</v>
      </c>
      <c r="G29" s="225"/>
      <c r="H29" s="225">
        <f t="shared" si="0"/>
        <v>1.0799999999999998</v>
      </c>
      <c r="I29" s="561">
        <f t="shared" si="1"/>
        <v>12</v>
      </c>
      <c r="J29" s="180">
        <f t="shared" si="2"/>
        <v>15.25</v>
      </c>
      <c r="K29" s="456">
        <f t="shared" si="3"/>
        <v>27.25</v>
      </c>
      <c r="L29" s="456"/>
      <c r="M29" s="225">
        <f t="shared" si="4"/>
        <v>0.55963302752293576</v>
      </c>
      <c r="N29" s="180">
        <f t="shared" si="5"/>
        <v>4.3819266055045869</v>
      </c>
      <c r="O29" s="180">
        <f t="shared" si="46"/>
        <v>1.0799999999999998</v>
      </c>
      <c r="P29" s="225">
        <f t="shared" si="6"/>
        <v>0.29212844036697244</v>
      </c>
      <c r="Q29" s="225">
        <f t="shared" si="7"/>
        <v>15</v>
      </c>
      <c r="R29" s="225">
        <f t="shared" si="8"/>
        <v>0.32458715596330273</v>
      </c>
      <c r="S29" s="180">
        <f t="shared" si="9"/>
        <v>96.780917980190736</v>
      </c>
      <c r="T29" s="180">
        <f t="shared" si="10"/>
        <v>15</v>
      </c>
      <c r="U29" s="225">
        <f t="shared" si="11"/>
        <v>0.35737704918032781</v>
      </c>
      <c r="V29" s="225">
        <f t="shared" si="12"/>
        <v>1.1912568306010927</v>
      </c>
      <c r="W29" s="225">
        <f t="shared" si="13"/>
        <v>0.93738242407954842</v>
      </c>
      <c r="X29" s="205">
        <f t="shared" si="14"/>
        <v>350</v>
      </c>
      <c r="Y29" s="456">
        <f t="shared" si="47"/>
        <v>350</v>
      </c>
      <c r="AA29" s="225">
        <f t="shared" si="15"/>
        <v>0.47968545216251629</v>
      </c>
      <c r="AB29" s="181">
        <f t="shared" si="16"/>
        <v>1.258191349934469</v>
      </c>
      <c r="AC29" s="181">
        <f t="shared" si="17"/>
        <v>0.10561881515504945</v>
      </c>
      <c r="AD29" s="181"/>
      <c r="AE29" s="181">
        <f t="shared" si="18"/>
        <v>0.76065573770491812</v>
      </c>
      <c r="AF29" s="565">
        <f t="shared" si="61"/>
        <v>652.79429250891781</v>
      </c>
      <c r="AG29" s="548">
        <f t="shared" si="19"/>
        <v>3.8603278688524589E-2</v>
      </c>
      <c r="AI29" s="181">
        <f t="shared" si="20"/>
        <v>0.4174754056057845</v>
      </c>
      <c r="AJ29" s="181">
        <f t="shared" si="21"/>
        <v>0.4174754056057845</v>
      </c>
      <c r="AK29" s="181">
        <f t="shared" si="22"/>
        <v>1.2944262263746551</v>
      </c>
      <c r="AM29" s="565">
        <f t="shared" si="23"/>
        <v>72</v>
      </c>
      <c r="AN29" s="474">
        <f t="shared" si="24"/>
        <v>350</v>
      </c>
      <c r="AP29">
        <f t="shared" si="25"/>
        <v>72</v>
      </c>
      <c r="AQ29" s="474">
        <f t="shared" si="26"/>
        <v>350</v>
      </c>
      <c r="AR29" s="474"/>
      <c r="AS29" s="6">
        <f t="shared" si="48"/>
        <v>2.8571428571428572</v>
      </c>
      <c r="AT29" s="6">
        <f t="shared" si="27"/>
        <v>1.391584685352615</v>
      </c>
      <c r="AU29" s="6">
        <f t="shared" si="49"/>
        <v>1.4655581717902422</v>
      </c>
      <c r="AV29" s="6">
        <f t="shared" si="28"/>
        <v>1.0950174573266478</v>
      </c>
      <c r="AW29" s="181">
        <f t="shared" si="50"/>
        <v>0.48705463987341524</v>
      </c>
      <c r="AX29" s="181">
        <f t="shared" si="29"/>
        <v>1.2200000000000002</v>
      </c>
      <c r="AY29" s="181">
        <f t="shared" si="30"/>
        <v>0.10707103613622558</v>
      </c>
      <c r="AZ29" s="181">
        <f t="shared" si="51"/>
        <v>11.394304603980897</v>
      </c>
      <c r="BA29" s="474">
        <f t="shared" si="31"/>
        <v>0.66796064896925522</v>
      </c>
      <c r="BB29" s="6">
        <f t="shared" si="32"/>
        <v>0.2442596952983736</v>
      </c>
      <c r="BC29" s="6"/>
      <c r="BD29" s="181">
        <f t="shared" si="52"/>
        <v>0.16821282730171475</v>
      </c>
      <c r="BE29" s="181">
        <f t="shared" si="33"/>
        <v>0.17262584634521444</v>
      </c>
      <c r="BF29" s="181"/>
      <c r="BG29" s="548">
        <f t="shared" si="34"/>
        <v>9.9034443440927777E-3</v>
      </c>
      <c r="BH29" s="548">
        <f t="shared" si="35"/>
        <v>3.9816716809651695E-2</v>
      </c>
      <c r="BI29" s="548">
        <f t="shared" si="36"/>
        <v>4.3749999999999995E-3</v>
      </c>
      <c r="BJ29" s="548">
        <f t="shared" si="37"/>
        <v>1.49440703125E-2</v>
      </c>
      <c r="BK29">
        <f t="shared" si="38"/>
        <v>3.48E-3</v>
      </c>
      <c r="BL29" s="474">
        <f t="shared" si="53"/>
        <v>72.519231466244463</v>
      </c>
      <c r="BM29" s="548">
        <f t="shared" si="54"/>
        <v>2.5199999999999997E-2</v>
      </c>
      <c r="BN29" s="548"/>
      <c r="BP29" s="474">
        <f t="shared" si="55"/>
        <v>25.199999999999996</v>
      </c>
      <c r="BQ29" s="548">
        <f t="shared" si="39"/>
        <v>0</v>
      </c>
      <c r="BR29" s="548">
        <f t="shared" si="40"/>
        <v>0</v>
      </c>
      <c r="BS29" s="548">
        <f t="shared" si="41"/>
        <v>1.2903791988705273E-2</v>
      </c>
      <c r="BT29" s="548">
        <f t="shared" si="42"/>
        <v>6.405000000000001E-2</v>
      </c>
      <c r="BU29" s="474">
        <f t="shared" si="56"/>
        <v>76.953791988705277</v>
      </c>
      <c r="BV29" s="181">
        <f t="shared" si="57"/>
        <v>0.17467302345494973</v>
      </c>
      <c r="BW29" s="6">
        <f t="shared" si="58"/>
        <v>1.0799999999999998</v>
      </c>
      <c r="BX29" s="181">
        <f t="shared" si="59"/>
        <v>0.86078203628387695</v>
      </c>
      <c r="BY29" s="6">
        <f t="shared" si="60"/>
        <v>86.078203628387698</v>
      </c>
      <c r="CB29" s="583">
        <f t="shared" si="43"/>
        <v>-50</v>
      </c>
      <c r="CC29">
        <f t="shared" si="44"/>
        <v>-50</v>
      </c>
    </row>
    <row r="30" spans="5:81" x14ac:dyDescent="0.2">
      <c r="E30" s="178">
        <v>25</v>
      </c>
      <c r="F30" s="225">
        <f t="shared" si="45"/>
        <v>7.4999999999999997E-2</v>
      </c>
      <c r="G30" s="225"/>
      <c r="H30" s="225">
        <f t="shared" si="0"/>
        <v>1.125</v>
      </c>
      <c r="I30" s="561">
        <f t="shared" si="1"/>
        <v>12</v>
      </c>
      <c r="J30" s="180">
        <f t="shared" si="2"/>
        <v>15.25</v>
      </c>
      <c r="K30" s="456">
        <f t="shared" si="3"/>
        <v>27.25</v>
      </c>
      <c r="L30" s="456"/>
      <c r="M30" s="225">
        <f t="shared" si="4"/>
        <v>0.55963302752293576</v>
      </c>
      <c r="N30" s="180">
        <f t="shared" si="5"/>
        <v>4.3819266055045869</v>
      </c>
      <c r="O30" s="180">
        <f t="shared" si="46"/>
        <v>1.125</v>
      </c>
      <c r="P30" s="225">
        <f t="shared" si="6"/>
        <v>0.29212844036697244</v>
      </c>
      <c r="Q30" s="225">
        <f t="shared" si="7"/>
        <v>15</v>
      </c>
      <c r="R30" s="225">
        <f t="shared" si="8"/>
        <v>0.32458715596330273</v>
      </c>
      <c r="S30" s="180">
        <f t="shared" si="9"/>
        <v>92.432368616003217</v>
      </c>
      <c r="T30" s="180">
        <f t="shared" si="10"/>
        <v>15</v>
      </c>
      <c r="U30" s="225">
        <f t="shared" si="11"/>
        <v>0.37226775956284153</v>
      </c>
      <c r="V30" s="225">
        <f t="shared" si="12"/>
        <v>1.2408925318761383</v>
      </c>
      <c r="W30" s="225">
        <f t="shared" si="13"/>
        <v>0.97644002508286298</v>
      </c>
      <c r="X30" s="205">
        <f t="shared" si="14"/>
        <v>350</v>
      </c>
      <c r="Y30" s="456">
        <f t="shared" si="47"/>
        <v>350</v>
      </c>
      <c r="AA30" s="225">
        <f t="shared" si="15"/>
        <v>0.47968545216251629</v>
      </c>
      <c r="AB30" s="181">
        <f t="shared" si="16"/>
        <v>1.258191349934469</v>
      </c>
      <c r="AC30" s="181">
        <f t="shared" si="17"/>
        <v>0.10561881515504945</v>
      </c>
      <c r="AD30" s="181"/>
      <c r="AE30" s="181">
        <f t="shared" si="18"/>
        <v>0.76065573770491812</v>
      </c>
      <c r="AF30" s="565">
        <f t="shared" si="61"/>
        <v>679.99405469678948</v>
      </c>
      <c r="AG30" s="548">
        <f t="shared" si="19"/>
        <v>3.8603278688524589E-2</v>
      </c>
      <c r="AI30" s="181">
        <f t="shared" si="20"/>
        <v>0.42608405162317331</v>
      </c>
      <c r="AJ30" s="181">
        <f t="shared" si="21"/>
        <v>0.42608405162317331</v>
      </c>
      <c r="AK30" s="181">
        <f t="shared" si="22"/>
        <v>1.3008030012023506</v>
      </c>
      <c r="AM30" s="565">
        <f t="shared" si="23"/>
        <v>75</v>
      </c>
      <c r="AN30" s="474">
        <f t="shared" si="24"/>
        <v>350</v>
      </c>
      <c r="AP30">
        <f t="shared" si="25"/>
        <v>75</v>
      </c>
      <c r="AQ30" s="474">
        <f t="shared" si="26"/>
        <v>350</v>
      </c>
      <c r="AR30" s="474"/>
      <c r="AS30" s="6">
        <f t="shared" si="48"/>
        <v>2.8571428571428572</v>
      </c>
      <c r="AT30" s="6">
        <f t="shared" si="27"/>
        <v>1.4202801720772447</v>
      </c>
      <c r="AU30" s="6">
        <f t="shared" si="49"/>
        <v>1.4368626850656125</v>
      </c>
      <c r="AV30" s="6">
        <f t="shared" si="28"/>
        <v>1.1175975124542252</v>
      </c>
      <c r="AW30" s="181">
        <f t="shared" si="50"/>
        <v>0.49709806022703562</v>
      </c>
      <c r="AX30" s="181">
        <f t="shared" si="29"/>
        <v>1.2708333333333333</v>
      </c>
      <c r="AY30" s="181">
        <f t="shared" si="30"/>
        <v>0.10713924803380888</v>
      </c>
      <c r="AZ30" s="181">
        <f t="shared" si="51"/>
        <v>11.861510666308847</v>
      </c>
      <c r="BA30" s="474">
        <f t="shared" si="31"/>
        <v>0.71014008603862222</v>
      </c>
      <c r="BB30" s="6">
        <f t="shared" si="32"/>
        <v>0.2494553272683355</v>
      </c>
      <c r="BC30" s="6"/>
      <c r="BD30" s="181">
        <f t="shared" si="52"/>
        <v>0.17344256423708709</v>
      </c>
      <c r="BE30" s="181">
        <f t="shared" si="33"/>
        <v>0.17445214222455663</v>
      </c>
      <c r="BF30" s="181"/>
      <c r="BG30" s="548">
        <f t="shared" si="34"/>
        <v>1.0528813081197628E-2</v>
      </c>
      <c r="BH30" s="548">
        <f t="shared" si="35"/>
        <v>4.0637766423560158E-2</v>
      </c>
      <c r="BI30" s="548">
        <f t="shared" si="36"/>
        <v>4.3749999999999995E-3</v>
      </c>
      <c r="BJ30" s="548">
        <f t="shared" si="37"/>
        <v>1.49440703125E-2</v>
      </c>
      <c r="BK30">
        <f t="shared" si="38"/>
        <v>3.48E-3</v>
      </c>
      <c r="BL30" s="474">
        <f t="shared" si="53"/>
        <v>73.965649817257784</v>
      </c>
      <c r="BM30" s="548">
        <f t="shared" si="54"/>
        <v>2.6249999999999999E-2</v>
      </c>
      <c r="BN30" s="548"/>
      <c r="BP30" s="474">
        <f t="shared" si="55"/>
        <v>26.25</v>
      </c>
      <c r="BQ30" s="548">
        <f t="shared" si="39"/>
        <v>0</v>
      </c>
      <c r="BR30" s="548">
        <f t="shared" si="40"/>
        <v>0</v>
      </c>
      <c r="BS30" s="548">
        <f t="shared" si="41"/>
        <v>1.3579329053281766E-2</v>
      </c>
      <c r="BT30" s="548">
        <f t="shared" si="42"/>
        <v>6.6718749999999993E-2</v>
      </c>
      <c r="BU30" s="474">
        <f t="shared" si="56"/>
        <v>80.298079053281768</v>
      </c>
      <c r="BV30" s="181">
        <f t="shared" si="57"/>
        <v>0.18051372887053954</v>
      </c>
      <c r="BW30" s="6">
        <f t="shared" si="58"/>
        <v>1.125</v>
      </c>
      <c r="BX30" s="181">
        <f t="shared" si="59"/>
        <v>0.86172973529224361</v>
      </c>
      <c r="BY30" s="6">
        <f t="shared" si="60"/>
        <v>86.172973529224365</v>
      </c>
      <c r="CB30" s="583">
        <f t="shared" si="43"/>
        <v>-50</v>
      </c>
      <c r="CC30">
        <f t="shared" si="44"/>
        <v>-50</v>
      </c>
    </row>
    <row r="31" spans="5:81" x14ac:dyDescent="0.2">
      <c r="E31" s="178">
        <v>26</v>
      </c>
      <c r="F31" s="225">
        <f t="shared" si="45"/>
        <v>7.8E-2</v>
      </c>
      <c r="G31" s="225"/>
      <c r="H31" s="225">
        <f t="shared" si="0"/>
        <v>1.17</v>
      </c>
      <c r="I31" s="561">
        <f t="shared" si="1"/>
        <v>12</v>
      </c>
      <c r="J31" s="180">
        <f t="shared" si="2"/>
        <v>15.25</v>
      </c>
      <c r="K31" s="456">
        <f t="shared" si="3"/>
        <v>27.25</v>
      </c>
      <c r="L31" s="456"/>
      <c r="M31" s="225">
        <f t="shared" si="4"/>
        <v>0.55963302752293576</v>
      </c>
      <c r="N31" s="180">
        <f t="shared" si="5"/>
        <v>4.3819266055045869</v>
      </c>
      <c r="O31" s="180">
        <f t="shared" si="46"/>
        <v>1.17</v>
      </c>
      <c r="P31" s="225">
        <f t="shared" si="6"/>
        <v>0.29212844036697244</v>
      </c>
      <c r="Q31" s="225">
        <f t="shared" si="7"/>
        <v>15</v>
      </c>
      <c r="R31" s="225">
        <f t="shared" si="8"/>
        <v>0.32458715596330273</v>
      </c>
      <c r="S31" s="180">
        <f t="shared" si="9"/>
        <v>88.418449290858163</v>
      </c>
      <c r="T31" s="180">
        <f t="shared" si="10"/>
        <v>15</v>
      </c>
      <c r="U31" s="225">
        <f t="shared" si="11"/>
        <v>0.38715846994535513</v>
      </c>
      <c r="V31" s="225">
        <f t="shared" si="12"/>
        <v>1.2905282331511838</v>
      </c>
      <c r="W31" s="225">
        <f t="shared" si="13"/>
        <v>1.0154976260861774</v>
      </c>
      <c r="X31" s="205">
        <f t="shared" si="14"/>
        <v>350</v>
      </c>
      <c r="Y31" s="456">
        <f t="shared" si="47"/>
        <v>350</v>
      </c>
      <c r="AA31" s="225">
        <f t="shared" si="15"/>
        <v>0.47968545216251629</v>
      </c>
      <c r="AB31" s="181">
        <f t="shared" si="16"/>
        <v>1.258191349934469</v>
      </c>
      <c r="AC31" s="181">
        <f t="shared" si="17"/>
        <v>0.10561881515504945</v>
      </c>
      <c r="AD31" s="181"/>
      <c r="AE31" s="181">
        <f t="shared" si="18"/>
        <v>0.76065573770491812</v>
      </c>
      <c r="AF31" s="565">
        <f t="shared" si="61"/>
        <v>707.19381688466115</v>
      </c>
      <c r="AG31" s="548">
        <f t="shared" si="19"/>
        <v>3.8603278688524589E-2</v>
      </c>
      <c r="AI31" s="181">
        <f t="shared" si="20"/>
        <v>0.43452217873144727</v>
      </c>
      <c r="AJ31" s="181">
        <f t="shared" si="21"/>
        <v>0.43452217873144727</v>
      </c>
      <c r="AK31" s="181">
        <f t="shared" si="22"/>
        <v>1.3070534657269979</v>
      </c>
      <c r="AM31" s="565">
        <f t="shared" si="23"/>
        <v>78</v>
      </c>
      <c r="AN31" s="474">
        <f t="shared" si="24"/>
        <v>350</v>
      </c>
      <c r="AP31">
        <f t="shared" si="25"/>
        <v>78</v>
      </c>
      <c r="AQ31" s="474">
        <f t="shared" si="26"/>
        <v>350</v>
      </c>
      <c r="AR31" s="474"/>
      <c r="AS31" s="6">
        <f t="shared" si="48"/>
        <v>2.8571428571428572</v>
      </c>
      <c r="AT31" s="6">
        <f t="shared" si="27"/>
        <v>1.4484072624381574</v>
      </c>
      <c r="AU31" s="6">
        <f t="shared" si="49"/>
        <v>1.4087355947046998</v>
      </c>
      <c r="AV31" s="6">
        <f t="shared" si="28"/>
        <v>1.1397303048693699</v>
      </c>
      <c r="AW31" s="181">
        <f t="shared" si="50"/>
        <v>0.50694254185335508</v>
      </c>
      <c r="AX31" s="181">
        <f t="shared" si="29"/>
        <v>1.3216666666666668</v>
      </c>
      <c r="AY31" s="181">
        <f t="shared" si="30"/>
        <v>0.10712220047683477</v>
      </c>
      <c r="AZ31" s="181">
        <f t="shared" si="51"/>
        <v>12.337934254370342</v>
      </c>
      <c r="BA31" s="474">
        <f t="shared" si="31"/>
        <v>0.75317177646784184</v>
      </c>
      <c r="BB31" s="6">
        <f t="shared" si="32"/>
        <v>0.2543550379327929</v>
      </c>
      <c r="BC31" s="6"/>
      <c r="BD31" s="181">
        <f t="shared" si="52"/>
        <v>0.17862024887651229</v>
      </c>
      <c r="BE31" s="181">
        <f t="shared" si="33"/>
        <v>0.17615707373761846</v>
      </c>
      <c r="BF31" s="181"/>
      <c r="BG31" s="548">
        <f t="shared" si="34"/>
        <v>1.1166817658047517E-2</v>
      </c>
      <c r="BH31" s="548">
        <f t="shared" si="35"/>
        <v>4.1442552796511788E-2</v>
      </c>
      <c r="BI31" s="548">
        <f t="shared" si="36"/>
        <v>4.3749999999999995E-3</v>
      </c>
      <c r="BJ31" s="548">
        <f t="shared" si="37"/>
        <v>1.49440703125E-2</v>
      </c>
      <c r="BK31">
        <f t="shared" si="38"/>
        <v>3.48E-3</v>
      </c>
      <c r="BL31" s="474">
        <f t="shared" si="53"/>
        <v>75.408440767059304</v>
      </c>
      <c r="BM31" s="548">
        <f t="shared" si="54"/>
        <v>2.7299999999999998E-2</v>
      </c>
      <c r="BN31" s="548"/>
      <c r="BP31" s="474">
        <f t="shared" si="55"/>
        <v>27.299999999999997</v>
      </c>
      <c r="BQ31" s="548">
        <f t="shared" si="39"/>
        <v>0</v>
      </c>
      <c r="BR31" s="548">
        <f t="shared" si="40"/>
        <v>0</v>
      </c>
      <c r="BS31" s="548">
        <f t="shared" si="41"/>
        <v>1.4261656971230221E-2</v>
      </c>
      <c r="BT31" s="548">
        <f t="shared" si="42"/>
        <v>6.9387500000000019E-2</v>
      </c>
      <c r="BU31" s="474">
        <f t="shared" si="56"/>
        <v>83.649156971230241</v>
      </c>
      <c r="BV31" s="181">
        <f t="shared" si="57"/>
        <v>0.18635759773828953</v>
      </c>
      <c r="BW31" s="6">
        <f t="shared" si="58"/>
        <v>1.17</v>
      </c>
      <c r="BX31" s="181">
        <f t="shared" si="59"/>
        <v>0.86260437656777333</v>
      </c>
      <c r="BY31" s="6">
        <f t="shared" si="60"/>
        <v>86.260437656777327</v>
      </c>
      <c r="CB31" s="583">
        <f t="shared" si="43"/>
        <v>-50</v>
      </c>
      <c r="CC31">
        <f t="shared" si="44"/>
        <v>-50</v>
      </c>
    </row>
    <row r="32" spans="5:81" x14ac:dyDescent="0.2">
      <c r="E32" s="178">
        <v>27</v>
      </c>
      <c r="F32" s="225">
        <f t="shared" si="45"/>
        <v>8.1000000000000003E-2</v>
      </c>
      <c r="G32" s="225"/>
      <c r="H32" s="225">
        <f t="shared" si="0"/>
        <v>1.2150000000000001</v>
      </c>
      <c r="I32" s="561">
        <f t="shared" si="1"/>
        <v>12</v>
      </c>
      <c r="J32" s="180">
        <f t="shared" si="2"/>
        <v>15.25</v>
      </c>
      <c r="K32" s="456">
        <f t="shared" si="3"/>
        <v>27.25</v>
      </c>
      <c r="L32" s="456"/>
      <c r="M32" s="225">
        <f t="shared" si="4"/>
        <v>0.55963302752293576</v>
      </c>
      <c r="N32" s="180">
        <f t="shared" si="5"/>
        <v>4.3819266055045869</v>
      </c>
      <c r="O32" s="180">
        <f t="shared" si="46"/>
        <v>1.2150000000000001</v>
      </c>
      <c r="P32" s="225">
        <f t="shared" si="6"/>
        <v>0.29212844036697244</v>
      </c>
      <c r="Q32" s="225">
        <f t="shared" si="7"/>
        <v>15</v>
      </c>
      <c r="R32" s="225">
        <f t="shared" si="8"/>
        <v>0.32458715596330273</v>
      </c>
      <c r="S32" s="180">
        <f t="shared" si="9"/>
        <v>84.701980734379575</v>
      </c>
      <c r="T32" s="180">
        <f t="shared" si="10"/>
        <v>15</v>
      </c>
      <c r="U32" s="225">
        <f t="shared" si="11"/>
        <v>0.40204918032786885</v>
      </c>
      <c r="V32" s="225">
        <f t="shared" si="12"/>
        <v>1.3401639344262297</v>
      </c>
      <c r="W32" s="225">
        <f t="shared" si="13"/>
        <v>1.0545552270894922</v>
      </c>
      <c r="X32" s="205">
        <f t="shared" si="14"/>
        <v>350</v>
      </c>
      <c r="Y32" s="456">
        <f t="shared" si="47"/>
        <v>350</v>
      </c>
      <c r="AA32" s="225">
        <f t="shared" si="15"/>
        <v>0.47968545216251629</v>
      </c>
      <c r="AB32" s="181">
        <f t="shared" si="16"/>
        <v>1.258191349934469</v>
      </c>
      <c r="AC32" s="181">
        <f t="shared" si="17"/>
        <v>0.10561881515504945</v>
      </c>
      <c r="AD32" s="181"/>
      <c r="AE32" s="181">
        <f t="shared" si="18"/>
        <v>0.76065573770491812</v>
      </c>
      <c r="AF32" s="565">
        <f t="shared" si="61"/>
        <v>734.3935790725327</v>
      </c>
      <c r="AG32" s="548">
        <f t="shared" si="19"/>
        <v>3.8603278688524589E-2</v>
      </c>
      <c r="AI32" s="181">
        <f t="shared" si="20"/>
        <v>0.44279953542368194</v>
      </c>
      <c r="AJ32" s="181">
        <f t="shared" si="21"/>
        <v>0.44279953542368194</v>
      </c>
      <c r="AK32" s="181">
        <f t="shared" si="22"/>
        <v>1.3131848410545792</v>
      </c>
      <c r="AM32" s="565">
        <f t="shared" si="23"/>
        <v>81</v>
      </c>
      <c r="AN32" s="474">
        <f t="shared" si="24"/>
        <v>350</v>
      </c>
      <c r="AP32">
        <f t="shared" si="25"/>
        <v>81</v>
      </c>
      <c r="AQ32" s="474">
        <f t="shared" si="26"/>
        <v>350</v>
      </c>
      <c r="AR32" s="474"/>
      <c r="AS32" s="6">
        <f t="shared" si="48"/>
        <v>2.8571428571428572</v>
      </c>
      <c r="AT32" s="6">
        <f t="shared" si="27"/>
        <v>1.4759984514122733</v>
      </c>
      <c r="AU32" s="6">
        <f t="shared" si="49"/>
        <v>1.3811444057305839</v>
      </c>
      <c r="AV32" s="6">
        <f t="shared" si="28"/>
        <v>1.1614414043899854</v>
      </c>
      <c r="AW32" s="181">
        <f t="shared" si="50"/>
        <v>0.51659945799429563</v>
      </c>
      <c r="AX32" s="181">
        <f t="shared" si="29"/>
        <v>1.3725000000000001</v>
      </c>
      <c r="AY32" s="181">
        <f t="shared" si="30"/>
        <v>0.10702476771184097</v>
      </c>
      <c r="AZ32" s="181">
        <f t="shared" si="51"/>
        <v>12.824134350801771</v>
      </c>
      <c r="BA32" s="474">
        <f t="shared" si="31"/>
        <v>0.79703916376262751</v>
      </c>
      <c r="BB32" s="6">
        <f t="shared" si="32"/>
        <v>0.25896457607448448</v>
      </c>
      <c r="BC32" s="6"/>
      <c r="BD32" s="181">
        <f t="shared" si="52"/>
        <v>0.1837483729888669</v>
      </c>
      <c r="BE32" s="181">
        <f t="shared" si="33"/>
        <v>0.17774610623326495</v>
      </c>
      <c r="BF32" s="181"/>
      <c r="BG32" s="548">
        <f t="shared" si="34"/>
        <v>1.1817212601619512E-2</v>
      </c>
      <c r="BH32" s="548">
        <f t="shared" si="35"/>
        <v>4.2232005691033671E-2</v>
      </c>
      <c r="BI32" s="548">
        <f t="shared" si="36"/>
        <v>4.3749999999999995E-3</v>
      </c>
      <c r="BJ32" s="548">
        <f t="shared" si="37"/>
        <v>1.49440703125E-2</v>
      </c>
      <c r="BK32">
        <f t="shared" si="38"/>
        <v>3.48E-3</v>
      </c>
      <c r="BL32" s="474">
        <f t="shared" si="53"/>
        <v>76.848288605153172</v>
      </c>
      <c r="BM32" s="548">
        <f t="shared" si="54"/>
        <v>2.835E-2</v>
      </c>
      <c r="BN32" s="548"/>
      <c r="BP32" s="474">
        <f t="shared" si="55"/>
        <v>28.35</v>
      </c>
      <c r="BQ32" s="548">
        <f t="shared" si="39"/>
        <v>0</v>
      </c>
      <c r="BR32" s="548">
        <f t="shared" si="40"/>
        <v>0</v>
      </c>
      <c r="BS32" s="548">
        <f t="shared" si="41"/>
        <v>1.4950578808207689E-2</v>
      </c>
      <c r="BT32" s="548">
        <f t="shared" si="42"/>
        <v>7.2056250000000002E-2</v>
      </c>
      <c r="BU32" s="474">
        <f t="shared" si="56"/>
        <v>87.006828808207686</v>
      </c>
      <c r="BV32" s="181">
        <f t="shared" si="57"/>
        <v>0.19220511741336088</v>
      </c>
      <c r="BW32" s="6">
        <f t="shared" si="58"/>
        <v>1.2150000000000001</v>
      </c>
      <c r="BX32" s="181">
        <f t="shared" si="59"/>
        <v>0.86341357415849884</v>
      </c>
      <c r="BY32" s="6">
        <f t="shared" si="60"/>
        <v>86.341357415849885</v>
      </c>
      <c r="CB32" s="583">
        <f t="shared" si="43"/>
        <v>-50</v>
      </c>
      <c r="CC32">
        <f t="shared" si="44"/>
        <v>-50</v>
      </c>
    </row>
    <row r="33" spans="5:81" x14ac:dyDescent="0.2">
      <c r="E33" s="178">
        <v>28</v>
      </c>
      <c r="F33" s="225">
        <f t="shared" si="45"/>
        <v>8.4000000000000005E-2</v>
      </c>
      <c r="G33" s="225"/>
      <c r="H33" s="225">
        <f t="shared" si="0"/>
        <v>1.26</v>
      </c>
      <c r="I33" s="561">
        <f t="shared" si="1"/>
        <v>12</v>
      </c>
      <c r="J33" s="180">
        <f t="shared" si="2"/>
        <v>15.25</v>
      </c>
      <c r="K33" s="456">
        <f t="shared" si="3"/>
        <v>27.25</v>
      </c>
      <c r="L33" s="456"/>
      <c r="M33" s="225">
        <f t="shared" si="4"/>
        <v>0.55963302752293576</v>
      </c>
      <c r="N33" s="180">
        <f t="shared" si="5"/>
        <v>4.3819266055045869</v>
      </c>
      <c r="O33" s="180">
        <f t="shared" si="46"/>
        <v>1.26</v>
      </c>
      <c r="P33" s="225">
        <f t="shared" si="6"/>
        <v>0.29212844036697244</v>
      </c>
      <c r="Q33" s="225">
        <f t="shared" si="7"/>
        <v>15</v>
      </c>
      <c r="R33" s="225">
        <f t="shared" si="8"/>
        <v>0.32458715596330273</v>
      </c>
      <c r="S33" s="180">
        <f t="shared" si="9"/>
        <v>81.251095035665827</v>
      </c>
      <c r="T33" s="180">
        <f t="shared" si="10"/>
        <v>15</v>
      </c>
      <c r="U33" s="225">
        <f t="shared" si="11"/>
        <v>0.41693989071038251</v>
      </c>
      <c r="V33" s="225">
        <f t="shared" si="12"/>
        <v>1.3897996357012752</v>
      </c>
      <c r="W33" s="225">
        <f t="shared" si="13"/>
        <v>1.0936128280928068</v>
      </c>
      <c r="X33" s="205">
        <f t="shared" si="14"/>
        <v>350</v>
      </c>
      <c r="Y33" s="456">
        <f t="shared" si="47"/>
        <v>350</v>
      </c>
      <c r="AA33" s="225">
        <f t="shared" si="15"/>
        <v>0.47968545216251629</v>
      </c>
      <c r="AB33" s="181">
        <f t="shared" si="16"/>
        <v>1.258191349934469</v>
      </c>
      <c r="AC33" s="181">
        <f t="shared" si="17"/>
        <v>0.10561881515504945</v>
      </c>
      <c r="AD33" s="181"/>
      <c r="AE33" s="181">
        <f t="shared" si="18"/>
        <v>0.76065573770491812</v>
      </c>
      <c r="AF33" s="565">
        <f t="shared" si="61"/>
        <v>761.59334126040437</v>
      </c>
      <c r="AG33" s="548">
        <f t="shared" si="19"/>
        <v>3.8603278688524589E-2</v>
      </c>
      <c r="AI33" s="181">
        <f t="shared" si="20"/>
        <v>0.45092497528228942</v>
      </c>
      <c r="AJ33" s="181">
        <f t="shared" si="21"/>
        <v>0.45092497528228942</v>
      </c>
      <c r="AK33" s="181">
        <f t="shared" si="22"/>
        <v>1.3192036853942883</v>
      </c>
      <c r="AM33" s="565">
        <f t="shared" si="23"/>
        <v>84</v>
      </c>
      <c r="AN33" s="474">
        <f t="shared" si="24"/>
        <v>350</v>
      </c>
      <c r="AP33">
        <f t="shared" si="25"/>
        <v>84</v>
      </c>
      <c r="AQ33" s="474">
        <f t="shared" si="26"/>
        <v>350</v>
      </c>
      <c r="AR33" s="474"/>
      <c r="AS33" s="6">
        <f t="shared" si="48"/>
        <v>2.8571428571428572</v>
      </c>
      <c r="AT33" s="6">
        <f t="shared" si="27"/>
        <v>1.5030832509409648</v>
      </c>
      <c r="AU33" s="6">
        <f t="shared" si="49"/>
        <v>1.3540596062018924</v>
      </c>
      <c r="AV33" s="6">
        <f t="shared" si="28"/>
        <v>1.1827540335273166</v>
      </c>
      <c r="AW33" s="181">
        <f t="shared" si="50"/>
        <v>0.52607913782933768</v>
      </c>
      <c r="AX33" s="181">
        <f t="shared" si="29"/>
        <v>1.4233333333333331</v>
      </c>
      <c r="AY33" s="181">
        <f t="shared" si="30"/>
        <v>0.1068513765300336</v>
      </c>
      <c r="AZ33" s="181">
        <f t="shared" si="51"/>
        <v>13.320683172792492</v>
      </c>
      <c r="BA33" s="474">
        <f t="shared" si="31"/>
        <v>0.84172662052694047</v>
      </c>
      <c r="BB33" s="6">
        <f t="shared" si="32"/>
        <v>0.26328936787259011</v>
      </c>
      <c r="BC33" s="6"/>
      <c r="BD33" s="181">
        <f t="shared" si="52"/>
        <v>0.18882922151330755</v>
      </c>
      <c r="BE33" s="181">
        <f t="shared" si="33"/>
        <v>0.17922416935351104</v>
      </c>
      <c r="BF33" s="181"/>
      <c r="BG33" s="548">
        <f t="shared" si="34"/>
        <v>1.247976621406262E-2</v>
      </c>
      <c r="BH33" s="548">
        <f t="shared" si="35"/>
        <v>4.3006969517548357E-2</v>
      </c>
      <c r="BI33" s="548">
        <f t="shared" si="36"/>
        <v>4.3749999999999995E-3</v>
      </c>
      <c r="BJ33" s="548">
        <f t="shared" si="37"/>
        <v>1.49440703125E-2</v>
      </c>
      <c r="BK33">
        <f t="shared" si="38"/>
        <v>3.48E-3</v>
      </c>
      <c r="BL33" s="474">
        <f t="shared" si="53"/>
        <v>78.28580604411097</v>
      </c>
      <c r="BM33" s="548">
        <f t="shared" si="54"/>
        <v>2.9399999999999999E-2</v>
      </c>
      <c r="BN33" s="548"/>
      <c r="BP33" s="474">
        <f t="shared" si="55"/>
        <v>29.4</v>
      </c>
      <c r="BQ33" s="548">
        <f t="shared" si="39"/>
        <v>0</v>
      </c>
      <c r="BR33" s="548">
        <f t="shared" si="40"/>
        <v>0</v>
      </c>
      <c r="BS33" s="548">
        <f t="shared" si="41"/>
        <v>1.5645910462986152E-2</v>
      </c>
      <c r="BT33" s="548">
        <f t="shared" si="42"/>
        <v>7.4725E-2</v>
      </c>
      <c r="BU33" s="474">
        <f t="shared" si="56"/>
        <v>90.370910462986146</v>
      </c>
      <c r="BV33" s="181">
        <f t="shared" si="57"/>
        <v>0.19805671650709711</v>
      </c>
      <c r="BW33" s="6">
        <f t="shared" si="58"/>
        <v>1.26</v>
      </c>
      <c r="BX33" s="181">
        <f t="shared" si="59"/>
        <v>0.86416391470589737</v>
      </c>
      <c r="BY33" s="6">
        <f t="shared" si="60"/>
        <v>86.416391470589744</v>
      </c>
      <c r="CB33" s="583">
        <f t="shared" si="43"/>
        <v>-50</v>
      </c>
      <c r="CC33">
        <f t="shared" si="44"/>
        <v>-50</v>
      </c>
    </row>
    <row r="34" spans="5:81" x14ac:dyDescent="0.2">
      <c r="E34" s="178">
        <v>29</v>
      </c>
      <c r="F34" s="225">
        <f t="shared" si="45"/>
        <v>8.6999999999999994E-2</v>
      </c>
      <c r="G34" s="225"/>
      <c r="H34" s="225">
        <f t="shared" si="0"/>
        <v>1.3049999999999999</v>
      </c>
      <c r="I34" s="561">
        <f t="shared" si="1"/>
        <v>12</v>
      </c>
      <c r="J34" s="180">
        <f t="shared" si="2"/>
        <v>15.25</v>
      </c>
      <c r="K34" s="456">
        <f t="shared" si="3"/>
        <v>27.25</v>
      </c>
      <c r="L34" s="456"/>
      <c r="M34" s="225">
        <f t="shared" si="4"/>
        <v>0.55963302752293576</v>
      </c>
      <c r="N34" s="180">
        <f t="shared" si="5"/>
        <v>4.3819266055045869</v>
      </c>
      <c r="O34" s="180">
        <f t="shared" si="46"/>
        <v>1.3049999999999999</v>
      </c>
      <c r="P34" s="225">
        <f t="shared" si="6"/>
        <v>0.29212844036697244</v>
      </c>
      <c r="Q34" s="225">
        <f t="shared" si="7"/>
        <v>15</v>
      </c>
      <c r="R34" s="225">
        <f t="shared" si="8"/>
        <v>0.32458715596330273</v>
      </c>
      <c r="S34" s="180">
        <f t="shared" si="9"/>
        <v>78.038319892470824</v>
      </c>
      <c r="T34" s="180">
        <f t="shared" si="10"/>
        <v>15</v>
      </c>
      <c r="U34" s="225">
        <f t="shared" si="11"/>
        <v>0.43183060109289612</v>
      </c>
      <c r="V34" s="225">
        <f t="shared" si="12"/>
        <v>1.4394353369763204</v>
      </c>
      <c r="W34" s="225">
        <f t="shared" si="13"/>
        <v>1.1326704290961211</v>
      </c>
      <c r="X34" s="205">
        <f t="shared" si="14"/>
        <v>350</v>
      </c>
      <c r="Y34" s="456">
        <f t="shared" si="47"/>
        <v>350</v>
      </c>
      <c r="AA34" s="225">
        <f t="shared" si="15"/>
        <v>0.47968545216251629</v>
      </c>
      <c r="AB34" s="181">
        <f t="shared" si="16"/>
        <v>1.258191349934469</v>
      </c>
      <c r="AC34" s="181">
        <f t="shared" si="17"/>
        <v>0.10561881515504945</v>
      </c>
      <c r="AD34" s="181"/>
      <c r="AE34" s="181">
        <f t="shared" si="18"/>
        <v>0.76065573770491812</v>
      </c>
      <c r="AF34" s="565">
        <f t="shared" si="61"/>
        <v>788.79310344827582</v>
      </c>
      <c r="AG34" s="548">
        <f t="shared" si="19"/>
        <v>3.8603278688524589E-2</v>
      </c>
      <c r="AI34" s="181">
        <f t="shared" si="20"/>
        <v>0.45890656793647883</v>
      </c>
      <c r="AJ34" s="181">
        <f t="shared" si="21"/>
        <v>0.45890656793647883</v>
      </c>
      <c r="AK34" s="181">
        <f t="shared" si="22"/>
        <v>1.3251159762492435</v>
      </c>
      <c r="AM34" s="565">
        <f t="shared" si="23"/>
        <v>87</v>
      </c>
      <c r="AN34" s="474">
        <f t="shared" si="24"/>
        <v>350</v>
      </c>
      <c r="AP34">
        <f t="shared" si="25"/>
        <v>87</v>
      </c>
      <c r="AQ34" s="474">
        <f t="shared" si="26"/>
        <v>350</v>
      </c>
      <c r="AR34" s="474"/>
      <c r="AS34" s="6">
        <f t="shared" si="48"/>
        <v>2.8571428571428572</v>
      </c>
      <c r="AT34" s="6">
        <f t="shared" si="27"/>
        <v>1.5296885597882628</v>
      </c>
      <c r="AU34" s="6">
        <f t="shared" si="49"/>
        <v>1.3274542973545944</v>
      </c>
      <c r="AV34" s="6">
        <f t="shared" si="28"/>
        <v>1.2036893585219117</v>
      </c>
      <c r="AW34" s="181">
        <f t="shared" si="50"/>
        <v>0.53539099592589201</v>
      </c>
      <c r="AX34" s="181">
        <f t="shared" si="29"/>
        <v>1.4741666666666666</v>
      </c>
      <c r="AY34" s="181">
        <f t="shared" si="30"/>
        <v>0.10660606174601721</v>
      </c>
      <c r="AZ34" s="181">
        <f t="shared" si="51"/>
        <v>13.828169266573074</v>
      </c>
      <c r="BA34" s="474">
        <f t="shared" si="31"/>
        <v>0.88721936467719242</v>
      </c>
      <c r="BB34" s="6">
        <f t="shared" si="32"/>
        <v>0.26733454599502243</v>
      </c>
      <c r="BC34" s="6"/>
      <c r="BD34" s="181">
        <f t="shared" si="52"/>
        <v>0.19386489647953276</v>
      </c>
      <c r="BE34" s="181">
        <f t="shared" si="33"/>
        <v>0.18059572146480307</v>
      </c>
      <c r="BF34" s="181"/>
      <c r="BG34" s="548">
        <f t="shared" si="34"/>
        <v>1.3154259330456981E-2</v>
      </c>
      <c r="BH34" s="548">
        <f t="shared" si="35"/>
        <v>4.3768213916941669E-2</v>
      </c>
      <c r="BI34" s="548">
        <f t="shared" si="36"/>
        <v>4.3749999999999995E-3</v>
      </c>
      <c r="BJ34" s="548">
        <f t="shared" si="37"/>
        <v>1.49440703125E-2</v>
      </c>
      <c r="BK34">
        <f t="shared" si="38"/>
        <v>3.48E-3</v>
      </c>
      <c r="BL34" s="474">
        <f t="shared" si="53"/>
        <v>79.721543559898649</v>
      </c>
      <c r="BM34" s="548">
        <f t="shared" si="54"/>
        <v>3.0449999999999994E-2</v>
      </c>
      <c r="BN34" s="548"/>
      <c r="BP34" s="474">
        <f t="shared" si="55"/>
        <v>30.449999999999996</v>
      </c>
      <c r="BQ34" s="548">
        <f t="shared" si="39"/>
        <v>0</v>
      </c>
      <c r="BR34" s="548">
        <f t="shared" si="40"/>
        <v>0</v>
      </c>
      <c r="BS34" s="548">
        <f t="shared" si="41"/>
        <v>1.6347479400196374E-2</v>
      </c>
      <c r="BT34" s="548">
        <f t="shared" si="42"/>
        <v>7.7393749999999997E-2</v>
      </c>
      <c r="BU34" s="474">
        <f t="shared" si="56"/>
        <v>93.741229400196374</v>
      </c>
      <c r="BV34" s="181">
        <f t="shared" si="57"/>
        <v>0.20391277296009502</v>
      </c>
      <c r="BW34" s="6">
        <f t="shared" si="58"/>
        <v>1.3049999999999999</v>
      </c>
      <c r="BX34" s="181">
        <f t="shared" si="59"/>
        <v>0.86486112609407417</v>
      </c>
      <c r="BY34" s="6">
        <f t="shared" si="60"/>
        <v>86.486112609407414</v>
      </c>
      <c r="CB34" s="583">
        <f t="shared" si="43"/>
        <v>-50</v>
      </c>
      <c r="CC34">
        <f t="shared" si="44"/>
        <v>-50</v>
      </c>
    </row>
    <row r="35" spans="5:81" x14ac:dyDescent="0.2">
      <c r="E35" s="178">
        <v>30</v>
      </c>
      <c r="F35" s="225">
        <f t="shared" si="45"/>
        <v>0.09</v>
      </c>
      <c r="G35" s="225"/>
      <c r="H35" s="225">
        <f t="shared" si="0"/>
        <v>1.3499999999999999</v>
      </c>
      <c r="I35" s="561">
        <f t="shared" si="1"/>
        <v>12</v>
      </c>
      <c r="J35" s="180">
        <f t="shared" si="2"/>
        <v>15.25</v>
      </c>
      <c r="K35" s="456">
        <f t="shared" si="3"/>
        <v>27.25</v>
      </c>
      <c r="L35" s="456"/>
      <c r="M35" s="225">
        <f t="shared" si="4"/>
        <v>0.55963302752293576</v>
      </c>
      <c r="N35" s="180">
        <f t="shared" si="5"/>
        <v>4.3819266055045869</v>
      </c>
      <c r="O35" s="180">
        <f t="shared" si="46"/>
        <v>1.3499999999999999</v>
      </c>
      <c r="P35" s="225">
        <f t="shared" si="6"/>
        <v>0.29212844036697244</v>
      </c>
      <c r="Q35" s="225">
        <f t="shared" si="7"/>
        <v>15</v>
      </c>
      <c r="R35" s="225">
        <f t="shared" si="8"/>
        <v>0.32458715596330273</v>
      </c>
      <c r="S35" s="180">
        <f t="shared" si="9"/>
        <v>75.039846010570656</v>
      </c>
      <c r="T35" s="180">
        <f t="shared" si="10"/>
        <v>15</v>
      </c>
      <c r="U35" s="225">
        <f t="shared" si="11"/>
        <v>0.44672131147540978</v>
      </c>
      <c r="V35" s="225">
        <f t="shared" si="12"/>
        <v>1.4890710382513661</v>
      </c>
      <c r="W35" s="225">
        <f t="shared" si="13"/>
        <v>1.1717280300994357</v>
      </c>
      <c r="X35" s="205">
        <f t="shared" si="14"/>
        <v>350</v>
      </c>
      <c r="Y35" s="456">
        <f t="shared" si="47"/>
        <v>350</v>
      </c>
      <c r="AA35" s="225">
        <f t="shared" si="15"/>
        <v>0.47968545216251629</v>
      </c>
      <c r="AB35" s="181">
        <f t="shared" si="16"/>
        <v>1.258191349934469</v>
      </c>
      <c r="AC35" s="181">
        <f t="shared" si="17"/>
        <v>0.10561881515504945</v>
      </c>
      <c r="AD35" s="181"/>
      <c r="AE35" s="181">
        <f t="shared" si="18"/>
        <v>0.76065573770491812</v>
      </c>
      <c r="AF35" s="565">
        <f t="shared" si="61"/>
        <v>815.99286563614749</v>
      </c>
      <c r="AG35" s="548">
        <f t="shared" si="19"/>
        <v>3.8603278688524589E-2</v>
      </c>
      <c r="AI35" s="181">
        <f t="shared" si="20"/>
        <v>0.46675169293441543</v>
      </c>
      <c r="AJ35" s="181">
        <f t="shared" si="21"/>
        <v>0.46675169293441543</v>
      </c>
      <c r="AK35" s="181">
        <f t="shared" si="22"/>
        <v>1.3309271799514188</v>
      </c>
      <c r="AM35" s="565">
        <f t="shared" si="23"/>
        <v>90</v>
      </c>
      <c r="AN35" s="474">
        <f t="shared" si="24"/>
        <v>350</v>
      </c>
      <c r="AP35">
        <f t="shared" si="25"/>
        <v>90</v>
      </c>
      <c r="AQ35" s="474">
        <f t="shared" si="26"/>
        <v>350</v>
      </c>
      <c r="AR35" s="474"/>
      <c r="AS35" s="6">
        <f t="shared" si="48"/>
        <v>2.8571428571428572</v>
      </c>
      <c r="AT35" s="6">
        <f t="shared" si="27"/>
        <v>1.5558389764480518</v>
      </c>
      <c r="AU35" s="6">
        <f t="shared" si="49"/>
        <v>1.3013038806948054</v>
      </c>
      <c r="AV35" s="6">
        <f t="shared" si="28"/>
        <v>1.22426673556568</v>
      </c>
      <c r="AW35" s="181">
        <f t="shared" si="50"/>
        <v>0.54454364175681813</v>
      </c>
      <c r="AX35" s="181">
        <f t="shared" si="29"/>
        <v>1.5250000000000001</v>
      </c>
      <c r="AY35" s="181">
        <f t="shared" si="30"/>
        <v>0.10629251313387436</v>
      </c>
      <c r="AZ35" s="181">
        <f t="shared" si="51"/>
        <v>14.347200522761916</v>
      </c>
      <c r="BA35" s="474">
        <f t="shared" si="31"/>
        <v>0.93350338586883119</v>
      </c>
      <c r="BB35" s="6">
        <f t="shared" si="32"/>
        <v>0.27110497514475101</v>
      </c>
      <c r="BC35" s="6"/>
      <c r="BD35" s="181">
        <f t="shared" si="52"/>
        <v>0.19885733743412129</v>
      </c>
      <c r="BE35" s="181">
        <f t="shared" si="33"/>
        <v>0.18186480409265457</v>
      </c>
      <c r="BF35" s="181"/>
      <c r="BG35" s="548">
        <f t="shared" si="34"/>
        <v>1.3840484227985792E-2</v>
      </c>
      <c r="BH35" s="548">
        <f t="shared" si="35"/>
        <v>4.4516442713619875E-2</v>
      </c>
      <c r="BI35" s="548">
        <f t="shared" si="36"/>
        <v>4.3749999999999995E-3</v>
      </c>
      <c r="BJ35" s="548">
        <f t="shared" si="37"/>
        <v>1.49440703125E-2</v>
      </c>
      <c r="BK35">
        <f t="shared" si="38"/>
        <v>3.48E-3</v>
      </c>
      <c r="BL35" s="474">
        <f t="shared" si="53"/>
        <v>81.155997254105657</v>
      </c>
      <c r="BM35" s="548">
        <f t="shared" si="54"/>
        <v>3.15E-2</v>
      </c>
      <c r="BN35" s="548"/>
      <c r="BP35" s="474">
        <f t="shared" si="55"/>
        <v>31.5</v>
      </c>
      <c r="BQ35" s="548">
        <f t="shared" si="39"/>
        <v>0</v>
      </c>
      <c r="BR35" s="548">
        <f t="shared" si="40"/>
        <v>0</v>
      </c>
      <c r="BS35" s="548">
        <f t="shared" si="41"/>
        <v>1.7055123547839397E-2</v>
      </c>
      <c r="BT35" s="548">
        <f t="shared" si="42"/>
        <v>8.0062499999999995E-2</v>
      </c>
      <c r="BU35" s="474">
        <f t="shared" si="56"/>
        <v>97.117623547839401</v>
      </c>
      <c r="BV35" s="181">
        <f t="shared" si="57"/>
        <v>0.20977362080194506</v>
      </c>
      <c r="BW35" s="6">
        <f t="shared" si="58"/>
        <v>1.3499999999999999</v>
      </c>
      <c r="BX35" s="181">
        <f t="shared" si="59"/>
        <v>0.86551021378724713</v>
      </c>
      <c r="BY35" s="6">
        <f t="shared" si="60"/>
        <v>86.551021378724712</v>
      </c>
      <c r="CB35" s="583">
        <f t="shared" si="43"/>
        <v>-50</v>
      </c>
      <c r="CC35">
        <f t="shared" si="44"/>
        <v>-50</v>
      </c>
    </row>
    <row r="36" spans="5:81" x14ac:dyDescent="0.2">
      <c r="E36" s="178">
        <v>31</v>
      </c>
      <c r="F36" s="225">
        <f t="shared" si="45"/>
        <v>9.2999999999999999E-2</v>
      </c>
      <c r="G36" s="225"/>
      <c r="H36" s="225">
        <f t="shared" si="0"/>
        <v>1.395</v>
      </c>
      <c r="I36" s="561">
        <f t="shared" si="1"/>
        <v>12</v>
      </c>
      <c r="J36" s="180">
        <f t="shared" si="2"/>
        <v>15.25</v>
      </c>
      <c r="K36" s="456">
        <f t="shared" si="3"/>
        <v>27.25</v>
      </c>
      <c r="L36" s="456"/>
      <c r="M36" s="225">
        <f t="shared" si="4"/>
        <v>0.55963302752293576</v>
      </c>
      <c r="N36" s="180">
        <f t="shared" si="5"/>
        <v>4.3819266055045869</v>
      </c>
      <c r="O36" s="180">
        <f t="shared" si="46"/>
        <v>1.395</v>
      </c>
      <c r="P36" s="225">
        <f t="shared" si="6"/>
        <v>0.29212844036697244</v>
      </c>
      <c r="Q36" s="225">
        <f t="shared" si="7"/>
        <v>15</v>
      </c>
      <c r="R36" s="225">
        <f t="shared" si="8"/>
        <v>0.32458715596330273</v>
      </c>
      <c r="S36" s="180">
        <f t="shared" si="9"/>
        <v>72.234936296823491</v>
      </c>
      <c r="T36" s="180">
        <f t="shared" si="10"/>
        <v>15</v>
      </c>
      <c r="U36" s="225">
        <f t="shared" si="11"/>
        <v>0.46161202185792349</v>
      </c>
      <c r="V36" s="225">
        <f t="shared" si="12"/>
        <v>1.5387067395264116</v>
      </c>
      <c r="W36" s="225">
        <f t="shared" si="13"/>
        <v>1.2107856311027501</v>
      </c>
      <c r="X36" s="205">
        <f t="shared" si="14"/>
        <v>350</v>
      </c>
      <c r="Y36" s="456">
        <f t="shared" si="47"/>
        <v>350</v>
      </c>
      <c r="AA36" s="225">
        <f t="shared" si="15"/>
        <v>0.47968545216251629</v>
      </c>
      <c r="AB36" s="181">
        <f t="shared" si="16"/>
        <v>1.258191349934469</v>
      </c>
      <c r="AC36" s="181">
        <f t="shared" si="17"/>
        <v>0.10561881515504945</v>
      </c>
      <c r="AD36" s="181"/>
      <c r="AE36" s="181">
        <f t="shared" si="18"/>
        <v>0.76065573770491812</v>
      </c>
      <c r="AF36" s="565">
        <f t="shared" si="61"/>
        <v>843.19262782401904</v>
      </c>
      <c r="AG36" s="548">
        <f t="shared" si="19"/>
        <v>3.8603278688524589E-2</v>
      </c>
      <c r="AI36" s="181">
        <f t="shared" si="20"/>
        <v>0.47446711963954635</v>
      </c>
      <c r="AJ36" s="181">
        <f t="shared" si="21"/>
        <v>0.47446711963954635</v>
      </c>
      <c r="AK36" s="181">
        <f t="shared" si="22"/>
        <v>1.3366423108441083</v>
      </c>
      <c r="AM36" s="565">
        <f t="shared" si="23"/>
        <v>93</v>
      </c>
      <c r="AN36" s="474">
        <f t="shared" si="24"/>
        <v>350</v>
      </c>
      <c r="AP36">
        <f t="shared" si="25"/>
        <v>93</v>
      </c>
      <c r="AQ36" s="474">
        <f t="shared" si="26"/>
        <v>350</v>
      </c>
      <c r="AR36" s="474"/>
      <c r="AS36" s="6">
        <f t="shared" si="48"/>
        <v>2.8571428571428572</v>
      </c>
      <c r="AT36" s="6">
        <f t="shared" si="27"/>
        <v>1.5815570654651547</v>
      </c>
      <c r="AU36" s="6">
        <f t="shared" si="49"/>
        <v>1.2755857916777025</v>
      </c>
      <c r="AV36" s="6">
        <f t="shared" si="28"/>
        <v>1.2445039203660233</v>
      </c>
      <c r="AW36" s="181">
        <f t="shared" si="50"/>
        <v>0.55354497291280413</v>
      </c>
      <c r="AX36" s="181">
        <f t="shared" si="29"/>
        <v>1.5758333333333332</v>
      </c>
      <c r="AY36" s="181">
        <f t="shared" si="30"/>
        <v>0.10591411537532873</v>
      </c>
      <c r="AZ36" s="181">
        <f t="shared" si="51"/>
        <v>14.878407167439764</v>
      </c>
      <c r="BA36" s="474">
        <f t="shared" si="31"/>
        <v>0.98056538058839593</v>
      </c>
      <c r="BB36" s="6">
        <f t="shared" si="32"/>
        <v>0.27460527459728312</v>
      </c>
      <c r="BC36" s="6"/>
      <c r="BD36" s="181">
        <f t="shared" si="52"/>
        <v>0.20380833898252051</v>
      </c>
      <c r="BE36" s="181">
        <f t="shared" si="33"/>
        <v>0.1830350881685491</v>
      </c>
      <c r="BF36" s="181"/>
      <c r="BG36" s="548">
        <f t="shared" si="34"/>
        <v>1.4538243663584896E-2</v>
      </c>
      <c r="BH36" s="548">
        <f t="shared" si="35"/>
        <v>4.5252301535621722E-2</v>
      </c>
      <c r="BI36" s="548">
        <f t="shared" si="36"/>
        <v>4.3749999999999995E-3</v>
      </c>
      <c r="BJ36" s="548">
        <f t="shared" si="37"/>
        <v>1.49440703125E-2</v>
      </c>
      <c r="BK36">
        <f t="shared" si="38"/>
        <v>3.48E-3</v>
      </c>
      <c r="BL36" s="474">
        <f t="shared" si="53"/>
        <v>82.589615511706612</v>
      </c>
      <c r="BM36" s="548">
        <f t="shared" si="54"/>
        <v>3.2549999999999996E-2</v>
      </c>
      <c r="BN36" s="548"/>
      <c r="BP36" s="474">
        <f t="shared" si="55"/>
        <v>32.549999999999997</v>
      </c>
      <c r="BQ36" s="548">
        <f t="shared" si="39"/>
        <v>0</v>
      </c>
      <c r="BR36" s="548">
        <f t="shared" si="40"/>
        <v>0</v>
      </c>
      <c r="BS36" s="548">
        <f t="shared" si="41"/>
        <v>1.7768690333333528E-2</v>
      </c>
      <c r="BT36" s="548">
        <f t="shared" si="42"/>
        <v>8.2731249999999992E-2</v>
      </c>
      <c r="BU36" s="474">
        <f t="shared" si="56"/>
        <v>100.49994033333353</v>
      </c>
      <c r="BV36" s="181">
        <f t="shared" si="57"/>
        <v>0.21563955584504013</v>
      </c>
      <c r="BW36" s="6">
        <f t="shared" si="58"/>
        <v>1.395</v>
      </c>
      <c r="BX36" s="181">
        <f t="shared" si="59"/>
        <v>0.86611557187796595</v>
      </c>
      <c r="BY36" s="6">
        <f t="shared" si="60"/>
        <v>86.611557187796592</v>
      </c>
      <c r="CB36" s="583">
        <f t="shared" si="43"/>
        <v>-50</v>
      </c>
      <c r="CC36">
        <f t="shared" si="44"/>
        <v>-50</v>
      </c>
    </row>
    <row r="37" spans="5:81" x14ac:dyDescent="0.2">
      <c r="E37" s="178">
        <v>32</v>
      </c>
      <c r="F37" s="225">
        <f t="shared" si="45"/>
        <v>9.6000000000000002E-2</v>
      </c>
      <c r="G37" s="225"/>
      <c r="H37" s="225">
        <f t="shared" ref="H37:H68" si="62">F37*Vout</f>
        <v>1.44</v>
      </c>
      <c r="I37" s="561">
        <f t="shared" ref="I37:I68" si="63">Vin</f>
        <v>12</v>
      </c>
      <c r="J37" s="180">
        <f t="shared" ref="J37:J68" si="64">(T37+Vfwd1)*Nps</f>
        <v>15.25</v>
      </c>
      <c r="K37" s="456">
        <f t="shared" ref="K37:K68" si="65">(Vout+Vfwd1)*Nps+I37</f>
        <v>27.25</v>
      </c>
      <c r="L37" s="456"/>
      <c r="M37" s="225">
        <f t="shared" ref="M37:M68" si="66">(Vout+Vfwd1)*Nps/((Vout+Vfwd1)*Nps+I37)</f>
        <v>0.55963302752293576</v>
      </c>
      <c r="N37" s="180">
        <f t="shared" si="5"/>
        <v>4.3819266055045869</v>
      </c>
      <c r="O37" s="180">
        <f t="shared" si="46"/>
        <v>1.44</v>
      </c>
      <c r="P37" s="225">
        <f t="shared" ref="P37:P68" si="67">N37/Vout</f>
        <v>0.29212844036697244</v>
      </c>
      <c r="Q37" s="225">
        <f t="shared" ref="Q37:Q68" si="68">MIN(Vout,N37/F37)</f>
        <v>15</v>
      </c>
      <c r="R37" s="225">
        <f t="shared" ref="R37:R68" si="69">Isw_max/2*I37*Nps*(Q37+Vfwd1)/Q37/(I37+Nps*(Q37+Vfwd1))</f>
        <v>0.32458715596330273</v>
      </c>
      <c r="S37" s="180">
        <f t="shared" ref="S37:S68" si="70">(SQRT(Isw_max^2*Nps^2*I37^2+4*Isw_max*F37/Efficiency*(Nps^2*Vfwd1*I37-Nps*I37^2)+4*(F37/Efficiency)^2*Nps^2*Vfwd1^2+8*(F37/Efficiency)^2*Nps*Vfwd1*I37+4*(F37/Efficiency)^2*I37^2)-2*F37/Efficiency*I37-2*F37/Efficiency*Nps*Vfwd1+Isw_max*Nps*I37)/(4*F37/Efficiency*Nps)</f>
        <v>69.605445828552348</v>
      </c>
      <c r="T37" s="180">
        <f t="shared" ref="T37:T68" si="71">MIN(Vout, S37)</f>
        <v>15</v>
      </c>
      <c r="U37" s="225">
        <f t="shared" ref="U37:U68" si="72">MIN(2*Vout*F37/(Efficiency*I37*M37), Isw_max)</f>
        <v>0.4765027322404371</v>
      </c>
      <c r="V37" s="225">
        <f t="shared" ref="V37:V68" si="73">L*U37/I37*1000000</f>
        <v>1.5883424408014573</v>
      </c>
      <c r="W37" s="225">
        <f t="shared" ref="W37:W68" si="74">L*U37/J37*1000000</f>
        <v>1.2498432321060646</v>
      </c>
      <c r="X37" s="205">
        <f t="shared" ref="X37:X68" si="75">IF(1/((350000*L)*(1/I37+1/J37))&gt;Isw_min, 350, 0.001/((Isw_min*L)*(1/I37+1/J37)))</f>
        <v>350</v>
      </c>
      <c r="Y37" s="456">
        <f t="shared" si="47"/>
        <v>350</v>
      </c>
      <c r="AA37" s="225">
        <f t="shared" ref="AA37:AA68" si="76">1/((X37*1000*L)*(1/I37+1/J37))</f>
        <v>0.47968545216251629</v>
      </c>
      <c r="AB37" s="181">
        <f t="shared" ref="AB37:AB68" si="77">L*AA37/J37*1000000</f>
        <v>1.258191349934469</v>
      </c>
      <c r="AC37" s="181">
        <f t="shared" ref="AC37:AC68" si="78">0.5*AB37*AA37*Nps*X37/1000</f>
        <v>0.10561881515504945</v>
      </c>
      <c r="AD37" s="181"/>
      <c r="AE37" s="181">
        <f t="shared" ref="AE37:AE68" si="79">L*Isw_min/J37*1000000</f>
        <v>0.76065573770491812</v>
      </c>
      <c r="AF37" s="565">
        <f t="shared" si="61"/>
        <v>870.3923900118906</v>
      </c>
      <c r="AG37" s="548">
        <f t="shared" ref="AG37:AG68" si="80">0.5*AE37/1000000*Isw_min*Nps*X37*1000</f>
        <v>3.8603278688524589E-2</v>
      </c>
      <c r="AI37" s="181">
        <f t="shared" ref="AI37:AI68" si="81">SQRT(F37/Efficiency/(0.5*L/J37*Fsw_DCM*Nps))</f>
        <v>0.48205907561309574</v>
      </c>
      <c r="AJ37" s="181">
        <f t="shared" ref="AJ37:AJ68" si="82">MAX(IF(F37&gt;AC37,U37,AI37),Isw_min)</f>
        <v>0.48205907561309574</v>
      </c>
      <c r="AK37" s="181">
        <f t="shared" ref="AK37:AK68" si="83">IF(F37&gt;AG37, (AJ37-Isw_min)/1.08*0.8+1.2, AF37*0.2/350+1)</f>
        <v>1.3422659819356264</v>
      </c>
      <c r="AM37" s="565">
        <f t="shared" ref="AM37:AM68" si="84">F37*1000</f>
        <v>96</v>
      </c>
      <c r="AN37" s="474">
        <f t="shared" ref="AN37:AN68" si="85">IF(F37&gt;AG37, Y37, AF37)</f>
        <v>350</v>
      </c>
      <c r="AP37">
        <f t="shared" ref="AP37:AP68" si="86">IF(H37&gt;N37, "",AM37)</f>
        <v>96</v>
      </c>
      <c r="AQ37" s="474">
        <f t="shared" ref="AQ37:AQ68" si="87">IF(H37&gt;N37, "",AN37)</f>
        <v>350</v>
      </c>
      <c r="AR37" s="474"/>
      <c r="AS37" s="6">
        <f t="shared" si="48"/>
        <v>2.8571428571428572</v>
      </c>
      <c r="AT37" s="6">
        <f t="shared" ref="AT37:AT68" si="88">L*AJ37/I37*1000000</f>
        <v>1.6068635853769859</v>
      </c>
      <c r="AU37" s="6">
        <f t="shared" si="49"/>
        <v>1.2502792717658713</v>
      </c>
      <c r="AV37" s="6">
        <f t="shared" ref="AV37:AV68" si="89">L*AJ37/J37*1000000</f>
        <v>1.2644172475097595</v>
      </c>
      <c r="AW37" s="181">
        <f t="shared" si="50"/>
        <v>0.56240225488194506</v>
      </c>
      <c r="AX37" s="181">
        <f t="shared" ref="AX37:AX68" si="90">0.5*L*AJ37^2*AN37*1000</f>
        <v>1.6266666666666667</v>
      </c>
      <c r="AY37" s="181">
        <f t="shared" ref="AY37:AY68" si="91">AJ37*Nps/2*(1-AW37)</f>
        <v>0.10547398225099232</v>
      </c>
      <c r="AZ37" s="181">
        <f t="shared" si="51"/>
        <v>15.422444776909547</v>
      </c>
      <c r="BA37" s="474">
        <f t="shared" ref="BA37:BA68" si="92">F37*AT37/Vout_ripple*1000</f>
        <v>1.0283926946412711</v>
      </c>
      <c r="BB37" s="6">
        <f t="shared" ref="BB37:BB68" si="93">H37/Efficiency/I37*AU37/Vinripple1</f>
        <v>0.27783983817019359</v>
      </c>
      <c r="BC37" s="6"/>
      <c r="BD37" s="181">
        <f t="shared" si="52"/>
        <v>0.20871956593370408</v>
      </c>
      <c r="BE37" s="181">
        <f t="shared" ref="BE37:BE68" si="94">AJ37*Nps*SQRT((1-AW37)/3)</f>
        <v>0.18410991352114534</v>
      </c>
      <c r="BF37" s="181"/>
      <c r="BG37" s="548">
        <f t="shared" ref="BG37:BG68" si="95">Rdson*BD37^2</f>
        <v>1.5247350021243845E-2</v>
      </c>
      <c r="BH37" s="548">
        <f t="shared" ref="BH37:BH68" si="96">0.5*K37*AJ37*AN37*1000*Trise</f>
        <v>4.5976384336599001E-2</v>
      </c>
      <c r="BI37" s="548">
        <f t="shared" ref="BI37:BI68" si="97">Qg*Vdd*AN37*1000</f>
        <v>4.3749999999999995E-3</v>
      </c>
      <c r="BJ37" s="548">
        <f t="shared" ref="BJ37:BJ68" si="98">0.5*(Coss+Csw)*K37^2*AN37*1000</f>
        <v>1.49440703125E-2</v>
      </c>
      <c r="BK37">
        <f t="shared" ref="BK37:BK68" si="99">I37*IQ</f>
        <v>3.48E-3</v>
      </c>
      <c r="BL37" s="474">
        <f t="shared" si="53"/>
        <v>84.02280467034285</v>
      </c>
      <c r="BM37" s="548">
        <f t="shared" ref="BM37:BM68" si="100">Vfwd2*F37</f>
        <v>3.3599999999999998E-2</v>
      </c>
      <c r="BN37" s="548"/>
      <c r="BP37" s="474">
        <f t="shared" si="55"/>
        <v>33.6</v>
      </c>
      <c r="BQ37" s="548">
        <f t="shared" ref="BQ37:BQ68" si="101">Rdcr_pri*BD37^2</f>
        <v>0</v>
      </c>
      <c r="BR37" s="548">
        <f t="shared" ref="BR37:BR68" si="102">Rdcr_sec*BE37^2</f>
        <v>0</v>
      </c>
      <c r="BS37" s="548">
        <f t="shared" ref="BS37:BS68" si="103">AJ37^2.5*AN37^2.5*k_core</f>
        <v>1.8488035836757583E-2</v>
      </c>
      <c r="BT37" s="548">
        <f t="shared" ref="BT37:BT68" si="104">0.5*Lleak*0.000000001*AJ37^2*AN37*1000</f>
        <v>8.5400000000000004E-2</v>
      </c>
      <c r="BU37" s="474">
        <f t="shared" si="56"/>
        <v>103.88803583675758</v>
      </c>
      <c r="BV37" s="181">
        <f t="shared" si="57"/>
        <v>0.22151084050710043</v>
      </c>
      <c r="BW37" s="6">
        <f t="shared" si="58"/>
        <v>1.44</v>
      </c>
      <c r="BX37" s="181">
        <f t="shared" si="59"/>
        <v>0.86668107417253182</v>
      </c>
      <c r="BY37" s="6">
        <f t="shared" si="60"/>
        <v>86.668107417253182</v>
      </c>
      <c r="CB37" s="583">
        <f t="shared" ref="CB37:CB68" si="105">IF(ABS(F37-Ioutmax_Vinnom)&lt;Iout/200, AN37, -50)</f>
        <v>-50</v>
      </c>
      <c r="CC37">
        <f t="shared" ref="CC37:CC68" si="106">IF(ABS(F37-Ioutmax_Vinnom)&lt;Iout/200, N37*BX37, -50)</f>
        <v>-50</v>
      </c>
    </row>
    <row r="38" spans="5:81" x14ac:dyDescent="0.2">
      <c r="E38" s="178">
        <v>33</v>
      </c>
      <c r="F38" s="225">
        <f t="shared" ref="F38:F69" si="107">IF(PLOT_TYPE=1, E38/100*Iout_max, min_I*EXP(N38*rr/100))</f>
        <v>9.9000000000000005E-2</v>
      </c>
      <c r="G38" s="225"/>
      <c r="H38" s="225">
        <f t="shared" si="62"/>
        <v>1.4850000000000001</v>
      </c>
      <c r="I38" s="561">
        <f t="shared" si="63"/>
        <v>12</v>
      </c>
      <c r="J38" s="180">
        <f t="shared" si="64"/>
        <v>15.25</v>
      </c>
      <c r="K38" s="456">
        <f t="shared" si="65"/>
        <v>27.25</v>
      </c>
      <c r="L38" s="456"/>
      <c r="M38" s="225">
        <f t="shared" si="66"/>
        <v>0.55963302752293576</v>
      </c>
      <c r="N38" s="180">
        <f t="shared" si="5"/>
        <v>4.3819266055045869</v>
      </c>
      <c r="O38" s="180">
        <f t="shared" si="46"/>
        <v>1.4850000000000001</v>
      </c>
      <c r="P38" s="225">
        <f t="shared" si="67"/>
        <v>0.29212844036697244</v>
      </c>
      <c r="Q38" s="225">
        <f t="shared" si="68"/>
        <v>15</v>
      </c>
      <c r="R38" s="225">
        <f t="shared" si="69"/>
        <v>0.32458715596330273</v>
      </c>
      <c r="S38" s="180">
        <f t="shared" si="70"/>
        <v>67.135429101243844</v>
      </c>
      <c r="T38" s="180">
        <f t="shared" si="71"/>
        <v>15</v>
      </c>
      <c r="U38" s="225">
        <f t="shared" si="72"/>
        <v>0.49139344262295082</v>
      </c>
      <c r="V38" s="225">
        <f t="shared" si="73"/>
        <v>1.6379781420765029</v>
      </c>
      <c r="W38" s="225">
        <f t="shared" si="74"/>
        <v>1.2889008331093792</v>
      </c>
      <c r="X38" s="205">
        <f t="shared" si="75"/>
        <v>350</v>
      </c>
      <c r="Y38" s="456">
        <f t="shared" si="47"/>
        <v>341.66086417580397</v>
      </c>
      <c r="AA38" s="225">
        <f t="shared" si="76"/>
        <v>0.47968545216251629</v>
      </c>
      <c r="AB38" s="181">
        <f t="shared" si="77"/>
        <v>1.258191349934469</v>
      </c>
      <c r="AC38" s="181">
        <f t="shared" si="78"/>
        <v>0.10561881515504945</v>
      </c>
      <c r="AD38" s="181"/>
      <c r="AE38" s="181">
        <f t="shared" si="79"/>
        <v>0.76065573770491812</v>
      </c>
      <c r="AF38" s="565">
        <f t="shared" si="61"/>
        <v>897.59215219976215</v>
      </c>
      <c r="AG38" s="548">
        <f t="shared" si="80"/>
        <v>3.8603278688524589E-2</v>
      </c>
      <c r="AI38" s="181">
        <f t="shared" si="81"/>
        <v>0.48953330544801255</v>
      </c>
      <c r="AJ38" s="181">
        <f t="shared" si="82"/>
        <v>0.48953330544801255</v>
      </c>
      <c r="AK38" s="181">
        <f t="shared" si="83"/>
        <v>1.3478024484800093</v>
      </c>
      <c r="AM38" s="565">
        <f t="shared" si="84"/>
        <v>99</v>
      </c>
      <c r="AN38" s="474">
        <f t="shared" si="85"/>
        <v>341.66086417580397</v>
      </c>
      <c r="AP38">
        <f t="shared" si="86"/>
        <v>99</v>
      </c>
      <c r="AQ38" s="474">
        <f t="shared" si="87"/>
        <v>341.66086417580397</v>
      </c>
      <c r="AR38" s="474"/>
      <c r="AS38" s="6">
        <f t="shared" si="48"/>
        <v>2.9268789751858821</v>
      </c>
      <c r="AT38" s="6">
        <f t="shared" si="88"/>
        <v>1.6317776848267085</v>
      </c>
      <c r="AU38" s="6">
        <f t="shared" si="49"/>
        <v>1.2951012903591737</v>
      </c>
      <c r="AV38" s="6">
        <f t="shared" si="89"/>
        <v>1.2840217847816722</v>
      </c>
      <c r="AW38" s="181">
        <f t="shared" si="50"/>
        <v>0.55751457394068593</v>
      </c>
      <c r="AX38" s="181">
        <f t="shared" si="90"/>
        <v>1.6375317132997462</v>
      </c>
      <c r="AY38" s="181">
        <f t="shared" si="91"/>
        <v>0.10830567661569408</v>
      </c>
      <c r="AZ38" s="181">
        <f t="shared" si="51"/>
        <v>15.119537262209015</v>
      </c>
      <c r="BA38" s="474">
        <f t="shared" si="92"/>
        <v>1.0769732719856278</v>
      </c>
      <c r="BB38" s="6">
        <f t="shared" si="93"/>
        <v>0.29679404570731061</v>
      </c>
      <c r="BC38" s="6"/>
      <c r="BD38" s="181">
        <f t="shared" si="52"/>
        <v>0.21103268735587596</v>
      </c>
      <c r="BE38" s="181">
        <f t="shared" si="94"/>
        <v>0.18800573727498185</v>
      </c>
      <c r="BF38" s="181"/>
      <c r="BG38" s="548">
        <f t="shared" si="95"/>
        <v>1.5587178296425011E-2</v>
      </c>
      <c r="BH38" s="548">
        <f t="shared" si="96"/>
        <v>4.557681641965107E-2</v>
      </c>
      <c r="BI38" s="548">
        <f t="shared" si="97"/>
        <v>4.270760802197549E-3</v>
      </c>
      <c r="BJ38" s="548">
        <f t="shared" si="98"/>
        <v>1.4588011363636362E-2</v>
      </c>
      <c r="BK38">
        <f t="shared" si="99"/>
        <v>3.48E-3</v>
      </c>
      <c r="BL38" s="474">
        <f t="shared" si="53"/>
        <v>83.502766881909977</v>
      </c>
      <c r="BM38" s="548">
        <f t="shared" si="100"/>
        <v>3.465E-2</v>
      </c>
      <c r="BN38" s="548"/>
      <c r="BP38" s="474">
        <f t="shared" si="55"/>
        <v>34.65</v>
      </c>
      <c r="BQ38" s="548">
        <f t="shared" si="101"/>
        <v>0</v>
      </c>
      <c r="BR38" s="548">
        <f t="shared" si="102"/>
        <v>0</v>
      </c>
      <c r="BS38" s="548">
        <f t="shared" si="103"/>
        <v>1.808896435394421E-2</v>
      </c>
      <c r="BT38" s="548">
        <f t="shared" si="104"/>
        <v>8.5970414948236692E-2</v>
      </c>
      <c r="BU38" s="474">
        <f t="shared" si="56"/>
        <v>104.0593793021809</v>
      </c>
      <c r="BV38" s="181">
        <f t="shared" si="57"/>
        <v>0.22221214618409091</v>
      </c>
      <c r="BW38" s="6">
        <f t="shared" si="58"/>
        <v>1.4850000000000001</v>
      </c>
      <c r="BX38" s="181">
        <f t="shared" si="59"/>
        <v>0.86983917219616036</v>
      </c>
      <c r="BY38" s="6">
        <f t="shared" si="60"/>
        <v>86.983917219616032</v>
      </c>
      <c r="CB38" s="583">
        <f t="shared" si="105"/>
        <v>-50</v>
      </c>
      <c r="CC38">
        <f t="shared" si="106"/>
        <v>-50</v>
      </c>
    </row>
    <row r="39" spans="5:81" x14ac:dyDescent="0.2">
      <c r="E39" s="178">
        <v>34</v>
      </c>
      <c r="F39" s="225">
        <f t="shared" si="107"/>
        <v>0.10200000000000001</v>
      </c>
      <c r="G39" s="225"/>
      <c r="H39" s="225">
        <f t="shared" si="62"/>
        <v>1.53</v>
      </c>
      <c r="I39" s="561">
        <f t="shared" si="63"/>
        <v>12</v>
      </c>
      <c r="J39" s="180">
        <f t="shared" si="64"/>
        <v>15.25</v>
      </c>
      <c r="K39" s="456">
        <f t="shared" si="65"/>
        <v>27.25</v>
      </c>
      <c r="L39" s="456"/>
      <c r="M39" s="225">
        <f t="shared" si="66"/>
        <v>0.55963302752293576</v>
      </c>
      <c r="N39" s="180">
        <f t="shared" si="5"/>
        <v>4.3819266055045869</v>
      </c>
      <c r="O39" s="180">
        <f t="shared" si="46"/>
        <v>1.53</v>
      </c>
      <c r="P39" s="225">
        <f t="shared" si="67"/>
        <v>0.29212844036697244</v>
      </c>
      <c r="Q39" s="225">
        <f t="shared" si="68"/>
        <v>15</v>
      </c>
      <c r="R39" s="225">
        <f t="shared" si="69"/>
        <v>0.32458715596330273</v>
      </c>
      <c r="S39" s="180">
        <f t="shared" si="70"/>
        <v>64.81081658549877</v>
      </c>
      <c r="T39" s="180">
        <f t="shared" si="71"/>
        <v>15</v>
      </c>
      <c r="U39" s="225">
        <f t="shared" si="72"/>
        <v>0.50628415300546448</v>
      </c>
      <c r="V39" s="225">
        <f t="shared" si="73"/>
        <v>1.6876138433515484</v>
      </c>
      <c r="W39" s="225">
        <f t="shared" si="74"/>
        <v>1.3279584341126938</v>
      </c>
      <c r="X39" s="205">
        <f t="shared" si="75"/>
        <v>350</v>
      </c>
      <c r="Y39" s="456">
        <f t="shared" si="47"/>
        <v>331.61201522945674</v>
      </c>
      <c r="AA39" s="225">
        <f t="shared" si="76"/>
        <v>0.47968545216251629</v>
      </c>
      <c r="AB39" s="181">
        <f t="shared" si="77"/>
        <v>1.258191349934469</v>
      </c>
      <c r="AC39" s="181">
        <f t="shared" si="78"/>
        <v>0.10561881515504945</v>
      </c>
      <c r="AD39" s="181"/>
      <c r="AE39" s="181">
        <f t="shared" si="79"/>
        <v>0.76065573770491812</v>
      </c>
      <c r="AF39" s="565">
        <f t="shared" si="61"/>
        <v>924.79191438763382</v>
      </c>
      <c r="AG39" s="548">
        <f t="shared" si="80"/>
        <v>3.8603278688524589E-2</v>
      </c>
      <c r="AI39" s="181">
        <f t="shared" si="81"/>
        <v>0.49689512163510108</v>
      </c>
      <c r="AJ39" s="181">
        <f t="shared" si="82"/>
        <v>0.49689512163510108</v>
      </c>
      <c r="AK39" s="181">
        <f t="shared" si="83"/>
        <v>1.3532556456556304</v>
      </c>
      <c r="AM39" s="565">
        <f t="shared" si="84"/>
        <v>102.00000000000001</v>
      </c>
      <c r="AN39" s="474">
        <f t="shared" si="85"/>
        <v>331.61201522945674</v>
      </c>
      <c r="AP39">
        <f t="shared" si="86"/>
        <v>102.00000000000001</v>
      </c>
      <c r="AQ39" s="474">
        <f t="shared" si="87"/>
        <v>331.61201522945674</v>
      </c>
      <c r="AR39" s="474"/>
      <c r="AS39" s="6">
        <f t="shared" si="48"/>
        <v>3.0155722774642428</v>
      </c>
      <c r="AT39" s="6">
        <f t="shared" si="88"/>
        <v>1.656317072117004</v>
      </c>
      <c r="AU39" s="6">
        <f t="shared" si="49"/>
        <v>1.3592552053472389</v>
      </c>
      <c r="AV39" s="6">
        <f t="shared" si="89"/>
        <v>1.303331466583872</v>
      </c>
      <c r="AW39" s="181">
        <f t="shared" si="50"/>
        <v>0.54925464214367314</v>
      </c>
      <c r="AX39" s="181">
        <f t="shared" si="90"/>
        <v>1.637531713299746</v>
      </c>
      <c r="AY39" s="181">
        <f t="shared" si="91"/>
        <v>0.11198658470923835</v>
      </c>
      <c r="AZ39" s="181">
        <f t="shared" si="51"/>
        <v>14.622570351184731</v>
      </c>
      <c r="BA39" s="474">
        <f t="shared" si="92"/>
        <v>1.1262956090395628</v>
      </c>
      <c r="BB39" s="6">
        <f t="shared" si="93"/>
        <v>0.32093525681809798</v>
      </c>
      <c r="BC39" s="6"/>
      <c r="BD39" s="181">
        <f t="shared" si="52"/>
        <v>0.21261356702052106</v>
      </c>
      <c r="BE39" s="181">
        <f t="shared" si="94"/>
        <v>0.19260596673103794</v>
      </c>
      <c r="BF39" s="181"/>
      <c r="BG39" s="548">
        <f t="shared" si="95"/>
        <v>1.5821585108416358E-2</v>
      </c>
      <c r="BH39" s="548">
        <f t="shared" si="96"/>
        <v>4.4901566995245265E-2</v>
      </c>
      <c r="BI39" s="548">
        <f t="shared" si="97"/>
        <v>4.1451501903682093E-3</v>
      </c>
      <c r="BJ39" s="548">
        <f t="shared" si="98"/>
        <v>1.4158952205882348E-2</v>
      </c>
      <c r="BK39">
        <f t="shared" si="99"/>
        <v>3.48E-3</v>
      </c>
      <c r="BL39" s="474">
        <f t="shared" si="53"/>
        <v>82.507254499912179</v>
      </c>
      <c r="BM39" s="548">
        <f t="shared" si="100"/>
        <v>3.5700000000000003E-2</v>
      </c>
      <c r="BN39" s="548"/>
      <c r="BP39" s="474">
        <f t="shared" si="55"/>
        <v>35.700000000000003</v>
      </c>
      <c r="BQ39" s="548">
        <f t="shared" si="101"/>
        <v>0</v>
      </c>
      <c r="BR39" s="548">
        <f t="shared" si="102"/>
        <v>0</v>
      </c>
      <c r="BS39" s="548">
        <f t="shared" si="103"/>
        <v>1.7426392096005376E-2</v>
      </c>
      <c r="BT39" s="548">
        <f t="shared" si="104"/>
        <v>8.5970414948236679E-2</v>
      </c>
      <c r="BU39" s="474">
        <f t="shared" si="56"/>
        <v>103.39680704424207</v>
      </c>
      <c r="BV39" s="181">
        <f t="shared" si="57"/>
        <v>0.22160406154415424</v>
      </c>
      <c r="BW39" s="6">
        <f t="shared" si="58"/>
        <v>1.53</v>
      </c>
      <c r="BX39" s="181">
        <f t="shared" si="59"/>
        <v>0.87348507210653781</v>
      </c>
      <c r="BY39" s="6">
        <f t="shared" si="60"/>
        <v>87.348507210653779</v>
      </c>
      <c r="CB39" s="583">
        <f t="shared" si="105"/>
        <v>-50</v>
      </c>
      <c r="CC39">
        <f t="shared" si="106"/>
        <v>-50</v>
      </c>
    </row>
    <row r="40" spans="5:81" x14ac:dyDescent="0.2">
      <c r="E40" s="178">
        <v>35</v>
      </c>
      <c r="F40" s="225">
        <f t="shared" si="107"/>
        <v>0.105</v>
      </c>
      <c r="G40" s="225"/>
      <c r="H40" s="225">
        <f t="shared" si="62"/>
        <v>1.575</v>
      </c>
      <c r="I40" s="561">
        <f t="shared" si="63"/>
        <v>12</v>
      </c>
      <c r="J40" s="180">
        <f t="shared" si="64"/>
        <v>15.25</v>
      </c>
      <c r="K40" s="456">
        <f t="shared" si="65"/>
        <v>27.25</v>
      </c>
      <c r="L40" s="456"/>
      <c r="M40" s="225">
        <f t="shared" si="66"/>
        <v>0.55963302752293576</v>
      </c>
      <c r="N40" s="180">
        <f t="shared" si="5"/>
        <v>4.3819266055045869</v>
      </c>
      <c r="O40" s="180">
        <f t="shared" si="46"/>
        <v>1.575</v>
      </c>
      <c r="P40" s="225">
        <f t="shared" si="67"/>
        <v>0.29212844036697244</v>
      </c>
      <c r="Q40" s="225">
        <f t="shared" si="68"/>
        <v>15</v>
      </c>
      <c r="R40" s="225">
        <f t="shared" si="69"/>
        <v>0.32458715596330273</v>
      </c>
      <c r="S40" s="180">
        <f t="shared" si="70"/>
        <v>62.61914673138417</v>
      </c>
      <c r="T40" s="180">
        <f t="shared" si="71"/>
        <v>15</v>
      </c>
      <c r="U40" s="225">
        <f t="shared" si="72"/>
        <v>0.52117486338797814</v>
      </c>
      <c r="V40" s="225">
        <f t="shared" si="73"/>
        <v>1.7372495446265939</v>
      </c>
      <c r="W40" s="225">
        <f t="shared" si="74"/>
        <v>1.3670160351160083</v>
      </c>
      <c r="X40" s="205">
        <f t="shared" si="75"/>
        <v>350</v>
      </c>
      <c r="Y40" s="456">
        <f t="shared" si="47"/>
        <v>322.13738622290089</v>
      </c>
      <c r="AA40" s="225">
        <f t="shared" si="76"/>
        <v>0.47968545216251629</v>
      </c>
      <c r="AB40" s="181">
        <f t="shared" si="77"/>
        <v>1.258191349934469</v>
      </c>
      <c r="AC40" s="181">
        <f t="shared" si="78"/>
        <v>0.10561881515504945</v>
      </c>
      <c r="AD40" s="181"/>
      <c r="AE40" s="181">
        <f t="shared" si="79"/>
        <v>0.76065573770491812</v>
      </c>
      <c r="AF40" s="565">
        <f t="shared" ref="AF40:AF71" si="108">MAX(10000,F40/(0.5*AE40/1000000*Isw_min*Nps))/1000</f>
        <v>951.99167657550527</v>
      </c>
      <c r="AG40" s="548">
        <f t="shared" si="80"/>
        <v>3.8603278688524589E-2</v>
      </c>
      <c r="AI40" s="181">
        <f t="shared" si="81"/>
        <v>0.50414944874180578</v>
      </c>
      <c r="AJ40" s="181">
        <f t="shared" si="82"/>
        <v>0.50414944874180578</v>
      </c>
      <c r="AK40" s="181">
        <f t="shared" si="83"/>
        <v>1.3586292212902265</v>
      </c>
      <c r="AM40" s="565">
        <f t="shared" si="84"/>
        <v>105</v>
      </c>
      <c r="AN40" s="474">
        <f t="shared" si="85"/>
        <v>322.13738622290089</v>
      </c>
      <c r="AP40">
        <f t="shared" si="86"/>
        <v>105</v>
      </c>
      <c r="AQ40" s="474">
        <f t="shared" si="87"/>
        <v>322.13738622290089</v>
      </c>
      <c r="AR40" s="474"/>
      <c r="AS40" s="6">
        <f t="shared" si="48"/>
        <v>3.1042655797426022</v>
      </c>
      <c r="AT40" s="6">
        <f t="shared" si="88"/>
        <v>1.680498162472686</v>
      </c>
      <c r="AU40" s="6">
        <f t="shared" si="49"/>
        <v>1.4237674172699162</v>
      </c>
      <c r="AV40" s="6">
        <f t="shared" si="89"/>
        <v>1.3223592098145727</v>
      </c>
      <c r="AW40" s="181">
        <f t="shared" si="50"/>
        <v>0.54135128561133894</v>
      </c>
      <c r="AX40" s="181">
        <f t="shared" si="90"/>
        <v>1.6375317132997462</v>
      </c>
      <c r="AY40" s="181">
        <f t="shared" si="91"/>
        <v>0.1156137482625907</v>
      </c>
      <c r="AZ40" s="181">
        <f t="shared" si="51"/>
        <v>14.163814753072966</v>
      </c>
      <c r="BA40" s="474">
        <f t="shared" si="92"/>
        <v>1.1763487137308801</v>
      </c>
      <c r="BB40" s="6">
        <f t="shared" si="93"/>
        <v>0.34605458058643795</v>
      </c>
      <c r="BC40" s="6"/>
      <c r="BD40" s="181">
        <f t="shared" si="52"/>
        <v>0.21415994938328115</v>
      </c>
      <c r="BE40" s="181">
        <f t="shared" si="94"/>
        <v>0.19712366246184823</v>
      </c>
      <c r="BF40" s="181"/>
      <c r="BG40" s="548">
        <f t="shared" si="95"/>
        <v>1.605256937194734E-2</v>
      </c>
      <c r="BH40" s="548">
        <f t="shared" si="96"/>
        <v>4.4255467598726957E-2</v>
      </c>
      <c r="BI40" s="548">
        <f t="shared" si="97"/>
        <v>4.0267173277862608E-3</v>
      </c>
      <c r="BJ40" s="548">
        <f t="shared" si="98"/>
        <v>1.3754410714285712E-2</v>
      </c>
      <c r="BK40">
        <f t="shared" si="99"/>
        <v>3.48E-3</v>
      </c>
      <c r="BL40" s="474">
        <f t="shared" si="53"/>
        <v>81.569165012746268</v>
      </c>
      <c r="BM40" s="548">
        <f t="shared" si="100"/>
        <v>3.6749999999999998E-2</v>
      </c>
      <c r="BN40" s="548"/>
      <c r="BP40" s="474">
        <f t="shared" si="55"/>
        <v>36.75</v>
      </c>
      <c r="BQ40" s="548">
        <f t="shared" si="101"/>
        <v>0</v>
      </c>
      <c r="BR40" s="548">
        <f t="shared" si="102"/>
        <v>0</v>
      </c>
      <c r="BS40" s="548">
        <f t="shared" si="103"/>
        <v>1.6806259782263942E-2</v>
      </c>
      <c r="BT40" s="548">
        <f t="shared" si="104"/>
        <v>8.5970414948236692E-2</v>
      </c>
      <c r="BU40" s="474">
        <f t="shared" si="56"/>
        <v>102.77667473050063</v>
      </c>
      <c r="BV40" s="181">
        <f t="shared" si="57"/>
        <v>0.22109583974324687</v>
      </c>
      <c r="BW40" s="6">
        <f t="shared" si="58"/>
        <v>1.575</v>
      </c>
      <c r="BX40" s="181">
        <f t="shared" si="59"/>
        <v>0.87690198103523664</v>
      </c>
      <c r="BY40" s="6">
        <f t="shared" si="60"/>
        <v>87.69019810352367</v>
      </c>
      <c r="CB40" s="583">
        <f t="shared" si="105"/>
        <v>-50</v>
      </c>
      <c r="CC40">
        <f t="shared" si="106"/>
        <v>-50</v>
      </c>
    </row>
    <row r="41" spans="5:81" x14ac:dyDescent="0.2">
      <c r="E41" s="178">
        <v>36</v>
      </c>
      <c r="F41" s="225">
        <f t="shared" si="107"/>
        <v>0.108</v>
      </c>
      <c r="G41" s="225"/>
      <c r="H41" s="225">
        <f t="shared" si="62"/>
        <v>1.6199999999999999</v>
      </c>
      <c r="I41" s="561">
        <f t="shared" si="63"/>
        <v>12</v>
      </c>
      <c r="J41" s="180">
        <f t="shared" si="64"/>
        <v>15.25</v>
      </c>
      <c r="K41" s="456">
        <f t="shared" si="65"/>
        <v>27.25</v>
      </c>
      <c r="L41" s="456"/>
      <c r="M41" s="225">
        <f t="shared" si="66"/>
        <v>0.55963302752293576</v>
      </c>
      <c r="N41" s="180">
        <f t="shared" si="5"/>
        <v>4.3819266055045869</v>
      </c>
      <c r="O41" s="180">
        <f t="shared" si="46"/>
        <v>1.6199999999999999</v>
      </c>
      <c r="P41" s="225">
        <f t="shared" si="67"/>
        <v>0.29212844036697244</v>
      </c>
      <c r="Q41" s="225">
        <f t="shared" si="68"/>
        <v>15</v>
      </c>
      <c r="R41" s="225">
        <f t="shared" si="69"/>
        <v>0.32458715596330273</v>
      </c>
      <c r="S41" s="180">
        <f t="shared" si="70"/>
        <v>60.549342638748982</v>
      </c>
      <c r="T41" s="180">
        <f t="shared" si="71"/>
        <v>15</v>
      </c>
      <c r="U41" s="225">
        <f t="shared" si="72"/>
        <v>0.53606557377049169</v>
      </c>
      <c r="V41" s="225">
        <f t="shared" si="73"/>
        <v>1.7868852459016389</v>
      </c>
      <c r="W41" s="225">
        <f t="shared" si="74"/>
        <v>1.4060736361193225</v>
      </c>
      <c r="X41" s="205">
        <f t="shared" si="75"/>
        <v>350</v>
      </c>
      <c r="Y41" s="456">
        <f t="shared" si="47"/>
        <v>313.18912549448709</v>
      </c>
      <c r="AA41" s="225">
        <f t="shared" si="76"/>
        <v>0.47968545216251629</v>
      </c>
      <c r="AB41" s="181">
        <f t="shared" si="77"/>
        <v>1.258191349934469</v>
      </c>
      <c r="AC41" s="181">
        <f t="shared" si="78"/>
        <v>0.10561881515504945</v>
      </c>
      <c r="AD41" s="181"/>
      <c r="AE41" s="181">
        <f t="shared" si="79"/>
        <v>0.76065573770491812</v>
      </c>
      <c r="AF41" s="565">
        <f t="shared" si="108"/>
        <v>979.19143876337694</v>
      </c>
      <c r="AG41" s="548">
        <f t="shared" si="80"/>
        <v>3.8603278688524589E-2</v>
      </c>
      <c r="AI41" s="181">
        <f t="shared" si="81"/>
        <v>0.51130086194780799</v>
      </c>
      <c r="AJ41" s="181">
        <f t="shared" si="82"/>
        <v>0.53606557377049169</v>
      </c>
      <c r="AK41" s="181">
        <f t="shared" si="83"/>
        <v>1.3822707953855493</v>
      </c>
      <c r="AM41" s="565">
        <f t="shared" si="84"/>
        <v>108</v>
      </c>
      <c r="AN41" s="474">
        <f t="shared" si="85"/>
        <v>313.18912549448709</v>
      </c>
      <c r="AP41">
        <f t="shared" si="86"/>
        <v>108</v>
      </c>
      <c r="AQ41" s="474">
        <f t="shared" si="87"/>
        <v>313.18912549448709</v>
      </c>
      <c r="AR41" s="474"/>
      <c r="AS41" s="6">
        <f t="shared" si="48"/>
        <v>3.1929588820209611</v>
      </c>
      <c r="AT41" s="6">
        <f t="shared" si="88"/>
        <v>1.7868852459016389</v>
      </c>
      <c r="AU41" s="6">
        <f t="shared" si="49"/>
        <v>1.4060736361193222</v>
      </c>
      <c r="AV41" s="6">
        <f t="shared" si="89"/>
        <v>1.4060736361193225</v>
      </c>
      <c r="AW41" s="181">
        <f t="shared" si="50"/>
        <v>0.55963302752293576</v>
      </c>
      <c r="AX41" s="181">
        <f t="shared" si="90"/>
        <v>1.8</v>
      </c>
      <c r="AY41" s="181">
        <f t="shared" si="91"/>
        <v>0.11803278688524588</v>
      </c>
      <c r="AZ41" s="181">
        <f t="shared" si="51"/>
        <v>15.250000000000004</v>
      </c>
      <c r="BA41" s="474">
        <f t="shared" si="92"/>
        <v>1.2865573770491801</v>
      </c>
      <c r="BB41" s="6">
        <f t="shared" si="93"/>
        <v>0.3515184090298305</v>
      </c>
      <c r="BC41" s="6"/>
      <c r="BD41" s="181">
        <f t="shared" si="52"/>
        <v>0.23153089940016464</v>
      </c>
      <c r="BE41" s="181">
        <f t="shared" si="94"/>
        <v>0.20538307886381404</v>
      </c>
      <c r="BF41" s="181"/>
      <c r="BG41" s="548">
        <f t="shared" si="95"/>
        <v>1.8762295081967202E-2</v>
      </c>
      <c r="BH41" s="548">
        <f t="shared" si="96"/>
        <v>4.5749999999999999E-2</v>
      </c>
      <c r="BI41" s="548">
        <f t="shared" si="97"/>
        <v>3.9148640686810883E-3</v>
      </c>
      <c r="BJ41" s="548">
        <f t="shared" si="98"/>
        <v>1.3372343750000003E-2</v>
      </c>
      <c r="BK41">
        <f t="shared" si="99"/>
        <v>3.48E-3</v>
      </c>
      <c r="BL41" s="474">
        <f t="shared" si="53"/>
        <v>85.279502900648296</v>
      </c>
      <c r="BM41" s="548">
        <f t="shared" si="100"/>
        <v>3.78E-2</v>
      </c>
      <c r="BN41" s="548"/>
      <c r="BP41" s="474">
        <f t="shared" si="55"/>
        <v>37.799999999999997</v>
      </c>
      <c r="BQ41" s="548">
        <f t="shared" si="101"/>
        <v>0</v>
      </c>
      <c r="BR41" s="548">
        <f t="shared" si="102"/>
        <v>0</v>
      </c>
      <c r="BS41" s="548">
        <f t="shared" si="103"/>
        <v>1.826129127960608E-2</v>
      </c>
      <c r="BT41" s="548">
        <f t="shared" si="104"/>
        <v>9.4499999999999987E-2</v>
      </c>
      <c r="BU41" s="474">
        <f t="shared" si="56"/>
        <v>112.76129127960607</v>
      </c>
      <c r="BV41" s="181">
        <f t="shared" si="57"/>
        <v>0.23584079418025439</v>
      </c>
      <c r="BW41" s="6">
        <f t="shared" si="58"/>
        <v>1.6199999999999999</v>
      </c>
      <c r="BX41" s="181">
        <f t="shared" si="59"/>
        <v>0.87291970576364675</v>
      </c>
      <c r="BY41" s="6">
        <f t="shared" si="60"/>
        <v>87.291970576364676</v>
      </c>
      <c r="CB41" s="583">
        <f t="shared" si="105"/>
        <v>-50</v>
      </c>
      <c r="CC41">
        <f t="shared" si="106"/>
        <v>-50</v>
      </c>
    </row>
    <row r="42" spans="5:81" x14ac:dyDescent="0.2">
      <c r="E42" s="178">
        <v>37</v>
      </c>
      <c r="F42" s="225">
        <f t="shared" si="107"/>
        <v>0.111</v>
      </c>
      <c r="G42" s="225"/>
      <c r="H42" s="225">
        <f t="shared" si="62"/>
        <v>1.665</v>
      </c>
      <c r="I42" s="561">
        <f t="shared" si="63"/>
        <v>12</v>
      </c>
      <c r="J42" s="180">
        <f t="shared" si="64"/>
        <v>15.25</v>
      </c>
      <c r="K42" s="456">
        <f t="shared" si="65"/>
        <v>27.25</v>
      </c>
      <c r="L42" s="456"/>
      <c r="M42" s="225">
        <f t="shared" si="66"/>
        <v>0.55963302752293576</v>
      </c>
      <c r="N42" s="180">
        <f t="shared" si="5"/>
        <v>4.3819266055045869</v>
      </c>
      <c r="O42" s="180">
        <f t="shared" si="46"/>
        <v>1.665</v>
      </c>
      <c r="P42" s="225">
        <f t="shared" si="67"/>
        <v>0.29212844036697244</v>
      </c>
      <c r="Q42" s="225">
        <f t="shared" si="68"/>
        <v>15</v>
      </c>
      <c r="R42" s="225">
        <f t="shared" si="69"/>
        <v>0.32458715596330273</v>
      </c>
      <c r="S42" s="180">
        <f t="shared" si="70"/>
        <v>58.5915249431864</v>
      </c>
      <c r="T42" s="180">
        <f t="shared" si="71"/>
        <v>15</v>
      </c>
      <c r="U42" s="225">
        <f t="shared" si="72"/>
        <v>0.55095628415300546</v>
      </c>
      <c r="V42" s="225">
        <f t="shared" si="73"/>
        <v>1.836520947176685</v>
      </c>
      <c r="W42" s="225">
        <f t="shared" si="74"/>
        <v>1.4451312371226375</v>
      </c>
      <c r="X42" s="205">
        <f t="shared" si="75"/>
        <v>350</v>
      </c>
      <c r="Y42" s="456">
        <f t="shared" si="47"/>
        <v>304.72455453517648</v>
      </c>
      <c r="AA42" s="225">
        <f t="shared" si="76"/>
        <v>0.47968545216251629</v>
      </c>
      <c r="AB42" s="181">
        <f t="shared" si="77"/>
        <v>1.258191349934469</v>
      </c>
      <c r="AC42" s="181">
        <f t="shared" si="78"/>
        <v>0.10561881515504945</v>
      </c>
      <c r="AD42" s="181"/>
      <c r="AE42" s="181">
        <f t="shared" si="79"/>
        <v>0.76065573770491812</v>
      </c>
      <c r="AF42" s="565">
        <f t="shared" si="108"/>
        <v>1006.3912009512485</v>
      </c>
      <c r="AG42" s="548">
        <f t="shared" si="80"/>
        <v>3.8603278688524589E-2</v>
      </c>
      <c r="AI42" s="181">
        <f t="shared" si="81"/>
        <v>0.51835362079421821</v>
      </c>
      <c r="AJ42" s="181">
        <f t="shared" si="82"/>
        <v>0.55095628415300546</v>
      </c>
      <c r="AK42" s="181">
        <f t="shared" si="83"/>
        <v>1.3933009512244485</v>
      </c>
      <c r="AM42" s="565">
        <f t="shared" si="84"/>
        <v>111</v>
      </c>
      <c r="AN42" s="474">
        <f t="shared" si="85"/>
        <v>304.72455453517648</v>
      </c>
      <c r="AP42">
        <f t="shared" si="86"/>
        <v>111</v>
      </c>
      <c r="AQ42" s="474">
        <f t="shared" si="87"/>
        <v>304.72455453517648</v>
      </c>
      <c r="AR42" s="474"/>
      <c r="AS42" s="6">
        <f t="shared" si="48"/>
        <v>3.2816521842993227</v>
      </c>
      <c r="AT42" s="6">
        <f t="shared" si="88"/>
        <v>1.836520947176685</v>
      </c>
      <c r="AU42" s="6">
        <f t="shared" si="49"/>
        <v>1.4451312371226377</v>
      </c>
      <c r="AV42" s="6">
        <f t="shared" si="89"/>
        <v>1.4451312371226375</v>
      </c>
      <c r="AW42" s="181">
        <f t="shared" si="50"/>
        <v>0.55963302752293576</v>
      </c>
      <c r="AX42" s="181">
        <f t="shared" si="90"/>
        <v>1.8499999999999996</v>
      </c>
      <c r="AY42" s="181">
        <f t="shared" si="91"/>
        <v>0.12131147540983607</v>
      </c>
      <c r="AZ42" s="181">
        <f t="shared" si="51"/>
        <v>15.249999999999996</v>
      </c>
      <c r="BA42" s="474">
        <f t="shared" si="92"/>
        <v>1.359025500910747</v>
      </c>
      <c r="BB42" s="6">
        <f t="shared" si="93"/>
        <v>0.37131844287178883</v>
      </c>
      <c r="BC42" s="6"/>
      <c r="BD42" s="181">
        <f t="shared" si="52"/>
        <v>0.23796231327239148</v>
      </c>
      <c r="BE42" s="181">
        <f t="shared" si="94"/>
        <v>0.21108816438780892</v>
      </c>
      <c r="BF42" s="181"/>
      <c r="BG42" s="548">
        <f t="shared" si="95"/>
        <v>1.9819121888281721E-2</v>
      </c>
      <c r="BH42" s="548">
        <f t="shared" si="96"/>
        <v>4.5749999999999992E-2</v>
      </c>
      <c r="BI42" s="548">
        <f t="shared" si="97"/>
        <v>3.8090569316897058E-3</v>
      </c>
      <c r="BJ42" s="548">
        <f t="shared" si="98"/>
        <v>1.3010929054054052E-2</v>
      </c>
      <c r="BK42">
        <f t="shared" si="99"/>
        <v>3.48E-3</v>
      </c>
      <c r="BL42" s="474">
        <f t="shared" si="53"/>
        <v>85.86910787402546</v>
      </c>
      <c r="BM42" s="548">
        <f t="shared" si="100"/>
        <v>3.8849999999999996E-2</v>
      </c>
      <c r="BN42" s="548"/>
      <c r="BP42" s="474">
        <f t="shared" si="55"/>
        <v>38.849999999999994</v>
      </c>
      <c r="BQ42" s="548">
        <f t="shared" si="101"/>
        <v>0</v>
      </c>
      <c r="BR42" s="548">
        <f t="shared" si="102"/>
        <v>0</v>
      </c>
      <c r="BS42" s="548">
        <f t="shared" si="103"/>
        <v>1.8261291279606056E-2</v>
      </c>
      <c r="BT42" s="548">
        <f t="shared" si="104"/>
        <v>9.7124999999999975E-2</v>
      </c>
      <c r="BU42" s="474">
        <f t="shared" si="56"/>
        <v>115.38629127960604</v>
      </c>
      <c r="BV42" s="181">
        <f t="shared" si="57"/>
        <v>0.24010539915363149</v>
      </c>
      <c r="BW42" s="6">
        <f t="shared" si="58"/>
        <v>1.665</v>
      </c>
      <c r="BX42" s="181">
        <f t="shared" si="59"/>
        <v>0.87396739347843877</v>
      </c>
      <c r="BY42" s="6">
        <f t="shared" si="60"/>
        <v>87.396739347843877</v>
      </c>
      <c r="CB42" s="583">
        <f t="shared" si="105"/>
        <v>-50</v>
      </c>
      <c r="CC42">
        <f t="shared" si="106"/>
        <v>-50</v>
      </c>
    </row>
    <row r="43" spans="5:81" x14ac:dyDescent="0.2">
      <c r="E43" s="178">
        <v>38</v>
      </c>
      <c r="F43" s="225">
        <f t="shared" si="107"/>
        <v>0.11399999999999999</v>
      </c>
      <c r="G43" s="225"/>
      <c r="H43" s="225">
        <f t="shared" si="62"/>
        <v>1.71</v>
      </c>
      <c r="I43" s="561">
        <f t="shared" si="63"/>
        <v>12</v>
      </c>
      <c r="J43" s="180">
        <f t="shared" si="64"/>
        <v>15.25</v>
      </c>
      <c r="K43" s="456">
        <f t="shared" si="65"/>
        <v>27.25</v>
      </c>
      <c r="L43" s="456"/>
      <c r="M43" s="225">
        <f t="shared" si="66"/>
        <v>0.55963302752293576</v>
      </c>
      <c r="N43" s="180">
        <f t="shared" si="5"/>
        <v>4.3819266055045869</v>
      </c>
      <c r="O43" s="180">
        <f t="shared" si="46"/>
        <v>1.71</v>
      </c>
      <c r="P43" s="225">
        <f t="shared" si="67"/>
        <v>0.29212844036697244</v>
      </c>
      <c r="Q43" s="225">
        <f t="shared" si="68"/>
        <v>15</v>
      </c>
      <c r="R43" s="225">
        <f t="shared" si="69"/>
        <v>0.32458715596330273</v>
      </c>
      <c r="S43" s="180">
        <f t="shared" si="70"/>
        <v>56.736854246339917</v>
      </c>
      <c r="T43" s="180">
        <f t="shared" si="71"/>
        <v>15</v>
      </c>
      <c r="U43" s="225">
        <f t="shared" si="72"/>
        <v>0.56584699453551912</v>
      </c>
      <c r="V43" s="225">
        <f t="shared" si="73"/>
        <v>1.8861566484517307</v>
      </c>
      <c r="W43" s="225">
        <f t="shared" si="74"/>
        <v>1.484188838125952</v>
      </c>
      <c r="X43" s="205">
        <f t="shared" si="75"/>
        <v>350</v>
      </c>
      <c r="Y43" s="456">
        <f t="shared" si="47"/>
        <v>296.70548731056664</v>
      </c>
      <c r="AA43" s="225">
        <f t="shared" si="76"/>
        <v>0.47968545216251629</v>
      </c>
      <c r="AB43" s="181">
        <f t="shared" si="77"/>
        <v>1.258191349934469</v>
      </c>
      <c r="AC43" s="181">
        <f t="shared" si="78"/>
        <v>0.10561881515504945</v>
      </c>
      <c r="AD43" s="181"/>
      <c r="AE43" s="181">
        <f t="shared" si="79"/>
        <v>0.76065573770491812</v>
      </c>
      <c r="AF43" s="565">
        <f t="shared" si="108"/>
        <v>1033.59096313912</v>
      </c>
      <c r="AG43" s="548">
        <f t="shared" si="80"/>
        <v>3.8603278688524589E-2</v>
      </c>
      <c r="AI43" s="181">
        <f t="shared" si="81"/>
        <v>0.52531169885352913</v>
      </c>
      <c r="AJ43" s="181">
        <f t="shared" si="82"/>
        <v>0.56584699453551912</v>
      </c>
      <c r="AK43" s="181">
        <f t="shared" si="83"/>
        <v>1.4043311070633475</v>
      </c>
      <c r="AM43" s="565">
        <f t="shared" si="84"/>
        <v>113.99999999999999</v>
      </c>
      <c r="AN43" s="474">
        <f t="shared" si="85"/>
        <v>296.70548731056664</v>
      </c>
      <c r="AP43">
        <f t="shared" si="86"/>
        <v>113.99999999999999</v>
      </c>
      <c r="AQ43" s="474">
        <f t="shared" si="87"/>
        <v>296.70548731056664</v>
      </c>
      <c r="AR43" s="474"/>
      <c r="AS43" s="6">
        <f t="shared" si="48"/>
        <v>3.3703454865776821</v>
      </c>
      <c r="AT43" s="6">
        <f t="shared" si="88"/>
        <v>1.8861566484517307</v>
      </c>
      <c r="AU43" s="6">
        <f t="shared" si="49"/>
        <v>1.4841888381259514</v>
      </c>
      <c r="AV43" s="6">
        <f t="shared" si="89"/>
        <v>1.484188838125952</v>
      </c>
      <c r="AW43" s="181">
        <f t="shared" si="50"/>
        <v>0.55963302752293587</v>
      </c>
      <c r="AX43" s="181">
        <f t="shared" si="90"/>
        <v>1.9</v>
      </c>
      <c r="AY43" s="181">
        <f t="shared" si="91"/>
        <v>0.12459016393442621</v>
      </c>
      <c r="AZ43" s="181">
        <f t="shared" si="51"/>
        <v>15.250000000000002</v>
      </c>
      <c r="BA43" s="474">
        <f t="shared" si="92"/>
        <v>1.4334790528233152</v>
      </c>
      <c r="BB43" s="6">
        <f t="shared" si="93"/>
        <v>0.3916609433943482</v>
      </c>
      <c r="BC43" s="6"/>
      <c r="BD43" s="181">
        <f t="shared" si="52"/>
        <v>0.24439372714461829</v>
      </c>
      <c r="BE43" s="181">
        <f t="shared" si="94"/>
        <v>0.21679324991180376</v>
      </c>
      <c r="BF43" s="181"/>
      <c r="BG43" s="548">
        <f t="shared" si="95"/>
        <v>2.0904902853673347E-2</v>
      </c>
      <c r="BH43" s="548">
        <f t="shared" si="96"/>
        <v>4.5749999999999999E-2</v>
      </c>
      <c r="BI43" s="548">
        <f t="shared" si="97"/>
        <v>3.7088185913820826E-3</v>
      </c>
      <c r="BJ43" s="548">
        <f t="shared" si="98"/>
        <v>1.2668536184210526E-2</v>
      </c>
      <c r="BK43">
        <f t="shared" si="99"/>
        <v>3.48E-3</v>
      </c>
      <c r="BL43" s="474">
        <f t="shared" si="53"/>
        <v>86.51225762926596</v>
      </c>
      <c r="BM43" s="548">
        <f t="shared" si="100"/>
        <v>3.9899999999999991E-2</v>
      </c>
      <c r="BN43" s="548"/>
      <c r="BP43" s="474">
        <f t="shared" si="55"/>
        <v>39.899999999999991</v>
      </c>
      <c r="BQ43" s="548">
        <f t="shared" si="101"/>
        <v>0</v>
      </c>
      <c r="BR43" s="548">
        <f t="shared" si="102"/>
        <v>0</v>
      </c>
      <c r="BS43" s="548">
        <f t="shared" si="103"/>
        <v>1.8261291279606018E-2</v>
      </c>
      <c r="BT43" s="548">
        <f t="shared" si="104"/>
        <v>9.9750000000000005E-2</v>
      </c>
      <c r="BU43" s="474">
        <f t="shared" si="56"/>
        <v>118.01129127960603</v>
      </c>
      <c r="BV43" s="181">
        <f t="shared" si="57"/>
        <v>0.24442354890887197</v>
      </c>
      <c r="BW43" s="6">
        <f t="shared" si="58"/>
        <v>1.71</v>
      </c>
      <c r="BX43" s="181">
        <f t="shared" si="59"/>
        <v>0.87493829111641108</v>
      </c>
      <c r="BY43" s="6">
        <f t="shared" si="60"/>
        <v>87.493829111641105</v>
      </c>
      <c r="CB43" s="583">
        <f t="shared" si="105"/>
        <v>-50</v>
      </c>
      <c r="CC43">
        <f t="shared" si="106"/>
        <v>-50</v>
      </c>
    </row>
    <row r="44" spans="5:81" x14ac:dyDescent="0.2">
      <c r="E44" s="178">
        <v>39</v>
      </c>
      <c r="F44" s="225">
        <f t="shared" si="107"/>
        <v>0.11699999999999999</v>
      </c>
      <c r="G44" s="225"/>
      <c r="H44" s="225">
        <f t="shared" si="62"/>
        <v>1.7549999999999999</v>
      </c>
      <c r="I44" s="561">
        <f t="shared" si="63"/>
        <v>12</v>
      </c>
      <c r="J44" s="180">
        <f t="shared" si="64"/>
        <v>15.25</v>
      </c>
      <c r="K44" s="456">
        <f t="shared" si="65"/>
        <v>27.25</v>
      </c>
      <c r="L44" s="456"/>
      <c r="M44" s="225">
        <f t="shared" si="66"/>
        <v>0.55963302752293576</v>
      </c>
      <c r="N44" s="180">
        <f t="shared" si="5"/>
        <v>4.3819266055045869</v>
      </c>
      <c r="O44" s="180">
        <f t="shared" si="46"/>
        <v>1.7549999999999999</v>
      </c>
      <c r="P44" s="225">
        <f t="shared" si="67"/>
        <v>0.29212844036697244</v>
      </c>
      <c r="Q44" s="225">
        <f t="shared" si="68"/>
        <v>15</v>
      </c>
      <c r="R44" s="225">
        <f t="shared" si="69"/>
        <v>0.32458715596330273</v>
      </c>
      <c r="S44" s="180">
        <f t="shared" si="70"/>
        <v>54.977397787723334</v>
      </c>
      <c r="T44" s="180">
        <f t="shared" si="71"/>
        <v>15</v>
      </c>
      <c r="U44" s="225">
        <f t="shared" si="72"/>
        <v>0.58073770491803267</v>
      </c>
      <c r="V44" s="225">
        <f t="shared" si="73"/>
        <v>1.9357923497267757</v>
      </c>
      <c r="W44" s="225">
        <f t="shared" si="74"/>
        <v>1.5232464391292662</v>
      </c>
      <c r="X44" s="205">
        <f t="shared" si="75"/>
        <v>350</v>
      </c>
      <c r="Y44" s="456">
        <f t="shared" si="47"/>
        <v>289.09765430260342</v>
      </c>
      <c r="AA44" s="225">
        <f t="shared" si="76"/>
        <v>0.47968545216251629</v>
      </c>
      <c r="AB44" s="181">
        <f t="shared" si="77"/>
        <v>1.258191349934469</v>
      </c>
      <c r="AC44" s="181">
        <f t="shared" si="78"/>
        <v>0.10561881515504945</v>
      </c>
      <c r="AD44" s="181"/>
      <c r="AE44" s="181">
        <f t="shared" si="79"/>
        <v>0.76065573770491812</v>
      </c>
      <c r="AF44" s="565">
        <f t="shared" si="108"/>
        <v>1060.7907253269916</v>
      </c>
      <c r="AG44" s="548">
        <f t="shared" si="80"/>
        <v>3.8603278688524589E-2</v>
      </c>
      <c r="AI44" s="181">
        <f t="shared" si="81"/>
        <v>0.53217880990723943</v>
      </c>
      <c r="AJ44" s="181">
        <f t="shared" si="82"/>
        <v>0.58073770491803267</v>
      </c>
      <c r="AK44" s="181">
        <f t="shared" si="83"/>
        <v>1.4153612629022465</v>
      </c>
      <c r="AM44" s="565">
        <f t="shared" si="84"/>
        <v>117</v>
      </c>
      <c r="AN44" s="474">
        <f t="shared" si="85"/>
        <v>289.09765430260342</v>
      </c>
      <c r="AP44">
        <f t="shared" si="86"/>
        <v>117</v>
      </c>
      <c r="AQ44" s="474">
        <f t="shared" si="87"/>
        <v>289.09765430260342</v>
      </c>
      <c r="AR44" s="474"/>
      <c r="AS44" s="6">
        <f t="shared" si="48"/>
        <v>3.4590387888560419</v>
      </c>
      <c r="AT44" s="6">
        <f t="shared" si="88"/>
        <v>1.9357923497267757</v>
      </c>
      <c r="AU44" s="6">
        <f t="shared" si="49"/>
        <v>1.5232464391292662</v>
      </c>
      <c r="AV44" s="6">
        <f t="shared" si="89"/>
        <v>1.5232464391292662</v>
      </c>
      <c r="AW44" s="181">
        <f t="shared" si="50"/>
        <v>0.55963302752293576</v>
      </c>
      <c r="AX44" s="181">
        <f t="shared" si="90"/>
        <v>1.9499999999999995</v>
      </c>
      <c r="AY44" s="181">
        <f t="shared" si="91"/>
        <v>0.12786885245901639</v>
      </c>
      <c r="AZ44" s="181">
        <f t="shared" si="51"/>
        <v>15.249999999999996</v>
      </c>
      <c r="BA44" s="474">
        <f t="shared" si="92"/>
        <v>1.5099180327868851</v>
      </c>
      <c r="BB44" s="6">
        <f t="shared" si="93"/>
        <v>0.41254591059750945</v>
      </c>
      <c r="BC44" s="6"/>
      <c r="BD44" s="181">
        <f t="shared" si="52"/>
        <v>0.250825141016845</v>
      </c>
      <c r="BE44" s="181">
        <f t="shared" si="94"/>
        <v>0.22249833543579856</v>
      </c>
      <c r="BF44" s="181"/>
      <c r="BG44" s="548">
        <f t="shared" si="95"/>
        <v>2.2019637978142062E-2</v>
      </c>
      <c r="BH44" s="548">
        <f t="shared" si="96"/>
        <v>4.5749999999999999E-2</v>
      </c>
      <c r="BI44" s="548">
        <f t="shared" si="97"/>
        <v>3.6137206787825423E-3</v>
      </c>
      <c r="BJ44" s="548">
        <f t="shared" si="98"/>
        <v>1.2343701923076924E-2</v>
      </c>
      <c r="BK44">
        <f t="shared" si="99"/>
        <v>3.48E-3</v>
      </c>
      <c r="BL44" s="474">
        <f t="shared" si="53"/>
        <v>87.207060580001524</v>
      </c>
      <c r="BM44" s="548">
        <f t="shared" si="100"/>
        <v>4.0949999999999993E-2</v>
      </c>
      <c r="BN44" s="548"/>
      <c r="BP44" s="474">
        <f t="shared" si="55"/>
        <v>40.949999999999996</v>
      </c>
      <c r="BQ44" s="548">
        <f t="shared" si="101"/>
        <v>0</v>
      </c>
      <c r="BR44" s="548">
        <f t="shared" si="102"/>
        <v>0</v>
      </c>
      <c r="BS44" s="548">
        <f t="shared" si="103"/>
        <v>1.8261291279606073E-2</v>
      </c>
      <c r="BT44" s="548">
        <f t="shared" si="104"/>
        <v>0.10237499999999998</v>
      </c>
      <c r="BU44" s="474">
        <f t="shared" si="56"/>
        <v>120.63629127960606</v>
      </c>
      <c r="BV44" s="181">
        <f t="shared" si="57"/>
        <v>0.24879335185960755</v>
      </c>
      <c r="BW44" s="6">
        <f t="shared" si="58"/>
        <v>1.7549999999999999</v>
      </c>
      <c r="BX44" s="181">
        <f t="shared" si="59"/>
        <v>0.87583881759627724</v>
      </c>
      <c r="BY44" s="6">
        <f t="shared" si="60"/>
        <v>87.583881759627729</v>
      </c>
      <c r="CB44" s="583">
        <f t="shared" si="105"/>
        <v>-50</v>
      </c>
      <c r="CC44">
        <f t="shared" si="106"/>
        <v>-50</v>
      </c>
    </row>
    <row r="45" spans="5:81" x14ac:dyDescent="0.2">
      <c r="E45" s="178">
        <v>40</v>
      </c>
      <c r="F45" s="225">
        <f t="shared" si="107"/>
        <v>0.12</v>
      </c>
      <c r="G45" s="225"/>
      <c r="H45" s="225">
        <f t="shared" si="62"/>
        <v>1.7999999999999998</v>
      </c>
      <c r="I45" s="561">
        <f t="shared" si="63"/>
        <v>12</v>
      </c>
      <c r="J45" s="180">
        <f t="shared" si="64"/>
        <v>15.25</v>
      </c>
      <c r="K45" s="456">
        <f t="shared" si="65"/>
        <v>27.25</v>
      </c>
      <c r="L45" s="456"/>
      <c r="M45" s="225">
        <f t="shared" si="66"/>
        <v>0.55963302752293576</v>
      </c>
      <c r="N45" s="180">
        <f t="shared" si="5"/>
        <v>4.3819266055045869</v>
      </c>
      <c r="O45" s="180">
        <f t="shared" si="46"/>
        <v>1.7999999999999998</v>
      </c>
      <c r="P45" s="225">
        <f t="shared" si="67"/>
        <v>0.29212844036697244</v>
      </c>
      <c r="Q45" s="225">
        <f t="shared" si="68"/>
        <v>15</v>
      </c>
      <c r="R45" s="225">
        <f t="shared" si="69"/>
        <v>0.32458715596330273</v>
      </c>
      <c r="S45" s="180">
        <f t="shared" si="70"/>
        <v>53.306016115790129</v>
      </c>
      <c r="T45" s="180">
        <f t="shared" si="71"/>
        <v>15</v>
      </c>
      <c r="U45" s="225">
        <f t="shared" si="72"/>
        <v>0.59562841530054633</v>
      </c>
      <c r="V45" s="225">
        <f t="shared" si="73"/>
        <v>1.9854280510018214</v>
      </c>
      <c r="W45" s="225">
        <f t="shared" si="74"/>
        <v>1.5623040401325807</v>
      </c>
      <c r="X45" s="205">
        <f t="shared" si="75"/>
        <v>350</v>
      </c>
      <c r="Y45" s="456">
        <f t="shared" si="47"/>
        <v>281.87021294503836</v>
      </c>
      <c r="AA45" s="225">
        <f t="shared" si="76"/>
        <v>0.47968545216251629</v>
      </c>
      <c r="AB45" s="181">
        <f t="shared" si="77"/>
        <v>1.258191349934469</v>
      </c>
      <c r="AC45" s="181">
        <f t="shared" si="78"/>
        <v>0.10561881515504945</v>
      </c>
      <c r="AD45" s="181"/>
      <c r="AE45" s="181">
        <f t="shared" si="79"/>
        <v>0.76065573770491812</v>
      </c>
      <c r="AF45" s="565">
        <f t="shared" si="108"/>
        <v>1087.9904875148632</v>
      </c>
      <c r="AG45" s="548">
        <f t="shared" si="80"/>
        <v>3.8603278688524589E-2</v>
      </c>
      <c r="AI45" s="181">
        <f t="shared" si="81"/>
        <v>0.53895843112079656</v>
      </c>
      <c r="AJ45" s="181">
        <f t="shared" si="82"/>
        <v>0.59562841530054633</v>
      </c>
      <c r="AK45" s="181">
        <f t="shared" si="83"/>
        <v>1.4263914187411455</v>
      </c>
      <c r="AM45" s="565">
        <f t="shared" si="84"/>
        <v>120</v>
      </c>
      <c r="AN45" s="474">
        <f t="shared" si="85"/>
        <v>281.87021294503836</v>
      </c>
      <c r="AP45">
        <f t="shared" si="86"/>
        <v>120</v>
      </c>
      <c r="AQ45" s="474">
        <f t="shared" si="87"/>
        <v>281.87021294503836</v>
      </c>
      <c r="AR45" s="474"/>
      <c r="AS45" s="6">
        <f t="shared" si="48"/>
        <v>3.5477320911344017</v>
      </c>
      <c r="AT45" s="6">
        <f t="shared" si="88"/>
        <v>1.9854280510018214</v>
      </c>
      <c r="AU45" s="6">
        <f t="shared" si="49"/>
        <v>1.5623040401325803</v>
      </c>
      <c r="AV45" s="6">
        <f t="shared" si="89"/>
        <v>1.5623040401325807</v>
      </c>
      <c r="AW45" s="181">
        <f t="shared" si="50"/>
        <v>0.55963302752293587</v>
      </c>
      <c r="AX45" s="181">
        <f t="shared" si="90"/>
        <v>1.9999999999999996</v>
      </c>
      <c r="AY45" s="181">
        <f t="shared" si="91"/>
        <v>0.13114754098360651</v>
      </c>
      <c r="AZ45" s="181">
        <f t="shared" si="51"/>
        <v>15.250000000000002</v>
      </c>
      <c r="BA45" s="474">
        <f t="shared" si="92"/>
        <v>1.588342440801457</v>
      </c>
      <c r="BB45" s="6">
        <f t="shared" si="93"/>
        <v>0.43397334448127223</v>
      </c>
      <c r="BC45" s="6"/>
      <c r="BD45" s="181">
        <f t="shared" si="52"/>
        <v>0.25725655488907184</v>
      </c>
      <c r="BE45" s="181">
        <f t="shared" si="94"/>
        <v>0.2282034209597934</v>
      </c>
      <c r="BF45" s="181"/>
      <c r="BG45" s="548">
        <f t="shared" si="95"/>
        <v>2.3163327261687912E-2</v>
      </c>
      <c r="BH45" s="548">
        <f t="shared" si="96"/>
        <v>4.5749999999999999E-2</v>
      </c>
      <c r="BI45" s="548">
        <f t="shared" si="97"/>
        <v>3.5233776618129793E-3</v>
      </c>
      <c r="BJ45" s="548">
        <f t="shared" si="98"/>
        <v>1.2035109375000002E-2</v>
      </c>
      <c r="BK45">
        <f t="shared" si="99"/>
        <v>3.48E-3</v>
      </c>
      <c r="BL45" s="474">
        <f t="shared" si="53"/>
        <v>87.951814298500892</v>
      </c>
      <c r="BM45" s="548">
        <f t="shared" si="100"/>
        <v>4.1999999999999996E-2</v>
      </c>
      <c r="BN45" s="548"/>
      <c r="BP45" s="474">
        <f t="shared" si="55"/>
        <v>41.999999999999993</v>
      </c>
      <c r="BQ45" s="548">
        <f t="shared" si="101"/>
        <v>0</v>
      </c>
      <c r="BR45" s="548">
        <f t="shared" si="102"/>
        <v>0</v>
      </c>
      <c r="BS45" s="548">
        <f t="shared" si="103"/>
        <v>1.8261291279606046E-2</v>
      </c>
      <c r="BT45" s="548">
        <f t="shared" si="104"/>
        <v>0.105</v>
      </c>
      <c r="BU45" s="474">
        <f t="shared" si="56"/>
        <v>123.26129127960604</v>
      </c>
      <c r="BV45" s="181">
        <f t="shared" si="57"/>
        <v>0.25321310557810695</v>
      </c>
      <c r="BW45" s="6">
        <f t="shared" si="58"/>
        <v>1.7999999999999998</v>
      </c>
      <c r="BX45" s="181">
        <f t="shared" si="59"/>
        <v>0.8766747081001065</v>
      </c>
      <c r="BY45" s="6">
        <f t="shared" si="60"/>
        <v>87.667470810010656</v>
      </c>
      <c r="CB45" s="583">
        <f t="shared" si="105"/>
        <v>-50</v>
      </c>
      <c r="CC45">
        <f t="shared" si="106"/>
        <v>-50</v>
      </c>
    </row>
    <row r="46" spans="5:81" x14ac:dyDescent="0.2">
      <c r="E46" s="178">
        <v>41</v>
      </c>
      <c r="F46" s="225">
        <f t="shared" si="107"/>
        <v>0.12299999999999998</v>
      </c>
      <c r="G46" s="225"/>
      <c r="H46" s="225">
        <f t="shared" si="62"/>
        <v>1.8449999999999998</v>
      </c>
      <c r="I46" s="561">
        <f t="shared" si="63"/>
        <v>12</v>
      </c>
      <c r="J46" s="180">
        <f t="shared" si="64"/>
        <v>15.25</v>
      </c>
      <c r="K46" s="456">
        <f t="shared" si="65"/>
        <v>27.25</v>
      </c>
      <c r="L46" s="456"/>
      <c r="M46" s="225">
        <f t="shared" si="66"/>
        <v>0.55963302752293576</v>
      </c>
      <c r="N46" s="180">
        <f t="shared" si="5"/>
        <v>4.3819266055045869</v>
      </c>
      <c r="O46" s="180">
        <f t="shared" si="46"/>
        <v>1.8449999999999998</v>
      </c>
      <c r="P46" s="225">
        <f t="shared" si="67"/>
        <v>0.29212844036697244</v>
      </c>
      <c r="Q46" s="225">
        <f t="shared" si="68"/>
        <v>15</v>
      </c>
      <c r="R46" s="225">
        <f t="shared" si="69"/>
        <v>0.32458715596330273</v>
      </c>
      <c r="S46" s="180">
        <f t="shared" si="70"/>
        <v>51.716266343747101</v>
      </c>
      <c r="T46" s="180">
        <f t="shared" si="71"/>
        <v>15</v>
      </c>
      <c r="U46" s="225">
        <f t="shared" si="72"/>
        <v>0.61051912568305999</v>
      </c>
      <c r="V46" s="225">
        <f t="shared" si="73"/>
        <v>2.0350637522768666</v>
      </c>
      <c r="W46" s="225">
        <f t="shared" si="74"/>
        <v>1.6013616411358953</v>
      </c>
      <c r="X46" s="205">
        <f t="shared" si="75"/>
        <v>350</v>
      </c>
      <c r="Y46" s="456">
        <f t="shared" si="47"/>
        <v>274.9953297024764</v>
      </c>
      <c r="AA46" s="225">
        <f t="shared" si="76"/>
        <v>0.47968545216251629</v>
      </c>
      <c r="AB46" s="181">
        <f t="shared" si="77"/>
        <v>1.258191349934469</v>
      </c>
      <c r="AC46" s="181">
        <f t="shared" si="78"/>
        <v>0.10561881515504945</v>
      </c>
      <c r="AD46" s="181"/>
      <c r="AE46" s="181">
        <f t="shared" si="79"/>
        <v>0.76065573770491812</v>
      </c>
      <c r="AF46" s="565">
        <f t="shared" si="108"/>
        <v>1115.1902497027347</v>
      </c>
      <c r="AG46" s="548">
        <f t="shared" si="80"/>
        <v>3.8603278688524589E-2</v>
      </c>
      <c r="AI46" s="181">
        <f t="shared" si="81"/>
        <v>0.54565382362638604</v>
      </c>
      <c r="AJ46" s="181">
        <f t="shared" si="82"/>
        <v>0.61051912568305999</v>
      </c>
      <c r="AK46" s="181">
        <f t="shared" si="83"/>
        <v>1.4374215745800445</v>
      </c>
      <c r="AM46" s="565">
        <f t="shared" si="84"/>
        <v>122.99999999999999</v>
      </c>
      <c r="AN46" s="474">
        <f t="shared" si="85"/>
        <v>274.9953297024764</v>
      </c>
      <c r="AP46">
        <f t="shared" si="86"/>
        <v>122.99999999999999</v>
      </c>
      <c r="AQ46" s="474">
        <f t="shared" si="87"/>
        <v>274.9953297024764</v>
      </c>
      <c r="AR46" s="474"/>
      <c r="AS46" s="6">
        <f t="shared" si="48"/>
        <v>3.6364253934127624</v>
      </c>
      <c r="AT46" s="6">
        <f t="shared" si="88"/>
        <v>2.0350637522768666</v>
      </c>
      <c r="AU46" s="6">
        <f t="shared" si="49"/>
        <v>1.6013616411358957</v>
      </c>
      <c r="AV46" s="6">
        <f t="shared" si="89"/>
        <v>1.6013616411358953</v>
      </c>
      <c r="AW46" s="181">
        <f t="shared" si="50"/>
        <v>0.55963302752293564</v>
      </c>
      <c r="AX46" s="181">
        <f t="shared" si="90"/>
        <v>2.0499999999999994</v>
      </c>
      <c r="AY46" s="181">
        <f t="shared" si="91"/>
        <v>0.13442622950819674</v>
      </c>
      <c r="AZ46" s="181">
        <f t="shared" si="51"/>
        <v>15.249999999999993</v>
      </c>
      <c r="BA46" s="474">
        <f t="shared" si="92"/>
        <v>1.6687522768670304</v>
      </c>
      <c r="BB46" s="6">
        <f t="shared" si="93"/>
        <v>0.45594324504563682</v>
      </c>
      <c r="BC46" s="6"/>
      <c r="BD46" s="181">
        <f t="shared" si="52"/>
        <v>0.26368796876129857</v>
      </c>
      <c r="BE46" s="181">
        <f t="shared" si="94"/>
        <v>0.23390850648378828</v>
      </c>
      <c r="BF46" s="181"/>
      <c r="BG46" s="548">
        <f t="shared" si="95"/>
        <v>2.4335970704310848E-2</v>
      </c>
      <c r="BH46" s="548">
        <f t="shared" si="96"/>
        <v>4.5749999999999992E-2</v>
      </c>
      <c r="BI46" s="548">
        <f t="shared" si="97"/>
        <v>3.4374416212809549E-3</v>
      </c>
      <c r="BJ46" s="548">
        <f t="shared" si="98"/>
        <v>1.1741570121951218E-2</v>
      </c>
      <c r="BK46">
        <f t="shared" si="99"/>
        <v>3.48E-3</v>
      </c>
      <c r="BL46" s="474">
        <f t="shared" si="53"/>
        <v>88.744982447543023</v>
      </c>
      <c r="BM46" s="548">
        <f t="shared" si="100"/>
        <v>4.3049999999999991E-2</v>
      </c>
      <c r="BN46" s="548"/>
      <c r="BP46" s="474">
        <f t="shared" si="55"/>
        <v>43.04999999999999</v>
      </c>
      <c r="BQ46" s="548">
        <f t="shared" si="101"/>
        <v>0</v>
      </c>
      <c r="BR46" s="548">
        <f t="shared" si="102"/>
        <v>0</v>
      </c>
      <c r="BS46" s="548">
        <f t="shared" si="103"/>
        <v>1.8261291279606056E-2</v>
      </c>
      <c r="BT46" s="548">
        <f t="shared" si="104"/>
        <v>0.10762499999999997</v>
      </c>
      <c r="BU46" s="474">
        <f t="shared" si="56"/>
        <v>125.88629127960601</v>
      </c>
      <c r="BV46" s="181">
        <f t="shared" si="57"/>
        <v>0.257681273727149</v>
      </c>
      <c r="BW46" s="6">
        <f t="shared" si="58"/>
        <v>1.8449999999999998</v>
      </c>
      <c r="BX46" s="181">
        <f t="shared" si="59"/>
        <v>0.87745110162588202</v>
      </c>
      <c r="BY46" s="6">
        <f t="shared" si="60"/>
        <v>87.745110162588205</v>
      </c>
      <c r="CB46" s="583">
        <f t="shared" si="105"/>
        <v>-50</v>
      </c>
      <c r="CC46">
        <f t="shared" si="106"/>
        <v>-50</v>
      </c>
    </row>
    <row r="47" spans="5:81" x14ac:dyDescent="0.2">
      <c r="E47" s="178">
        <v>42</v>
      </c>
      <c r="F47" s="225">
        <f t="shared" si="107"/>
        <v>0.126</v>
      </c>
      <c r="G47" s="225"/>
      <c r="H47" s="225">
        <f t="shared" si="62"/>
        <v>1.8900000000000001</v>
      </c>
      <c r="I47" s="561">
        <f t="shared" si="63"/>
        <v>12</v>
      </c>
      <c r="J47" s="180">
        <f t="shared" si="64"/>
        <v>15.25</v>
      </c>
      <c r="K47" s="456">
        <f t="shared" si="65"/>
        <v>27.25</v>
      </c>
      <c r="L47" s="456"/>
      <c r="M47" s="225">
        <f t="shared" si="66"/>
        <v>0.55963302752293576</v>
      </c>
      <c r="N47" s="180">
        <f t="shared" si="5"/>
        <v>4.3819266055045869</v>
      </c>
      <c r="O47" s="180">
        <f t="shared" si="46"/>
        <v>1.8900000000000001</v>
      </c>
      <c r="P47" s="225">
        <f t="shared" si="67"/>
        <v>0.29212844036697244</v>
      </c>
      <c r="Q47" s="225">
        <f t="shared" si="68"/>
        <v>15</v>
      </c>
      <c r="R47" s="225">
        <f t="shared" si="69"/>
        <v>0.32458715596330273</v>
      </c>
      <c r="S47" s="180">
        <f t="shared" si="70"/>
        <v>50.202319225988788</v>
      </c>
      <c r="T47" s="180">
        <f t="shared" si="71"/>
        <v>15</v>
      </c>
      <c r="U47" s="225">
        <f t="shared" si="72"/>
        <v>0.62540983606557377</v>
      </c>
      <c r="V47" s="225">
        <f t="shared" si="73"/>
        <v>2.084699453551913</v>
      </c>
      <c r="W47" s="225">
        <f t="shared" si="74"/>
        <v>1.6404192421392101</v>
      </c>
      <c r="X47" s="205">
        <f t="shared" si="75"/>
        <v>350</v>
      </c>
      <c r="Y47" s="456">
        <f t="shared" si="47"/>
        <v>268.44782185241741</v>
      </c>
      <c r="AA47" s="225">
        <f t="shared" si="76"/>
        <v>0.47968545216251629</v>
      </c>
      <c r="AB47" s="181">
        <f t="shared" si="77"/>
        <v>1.258191349934469</v>
      </c>
      <c r="AC47" s="181">
        <f t="shared" si="78"/>
        <v>0.10561881515504945</v>
      </c>
      <c r="AD47" s="181"/>
      <c r="AE47" s="181">
        <f t="shared" si="79"/>
        <v>0.76065573770491812</v>
      </c>
      <c r="AF47" s="565">
        <f t="shared" si="108"/>
        <v>1142.3900118906065</v>
      </c>
      <c r="AG47" s="548">
        <f t="shared" si="80"/>
        <v>3.8603278688524589E-2</v>
      </c>
      <c r="AI47" s="181">
        <f t="shared" si="81"/>
        <v>0.55226805085936304</v>
      </c>
      <c r="AJ47" s="181">
        <f t="shared" si="82"/>
        <v>0.62540983606557377</v>
      </c>
      <c r="AK47" s="181">
        <f t="shared" si="83"/>
        <v>1.4484517304189435</v>
      </c>
      <c r="AM47" s="565">
        <f t="shared" si="84"/>
        <v>126</v>
      </c>
      <c r="AN47" s="474">
        <f t="shared" si="85"/>
        <v>268.44782185241741</v>
      </c>
      <c r="AP47">
        <f t="shared" si="86"/>
        <v>126</v>
      </c>
      <c r="AQ47" s="474">
        <f t="shared" si="87"/>
        <v>268.44782185241741</v>
      </c>
      <c r="AR47" s="474"/>
      <c r="AS47" s="6">
        <f t="shared" si="48"/>
        <v>3.7251186956911226</v>
      </c>
      <c r="AT47" s="6">
        <f t="shared" si="88"/>
        <v>2.084699453551913</v>
      </c>
      <c r="AU47" s="6">
        <f t="shared" si="49"/>
        <v>1.6404192421392096</v>
      </c>
      <c r="AV47" s="6">
        <f t="shared" si="89"/>
        <v>1.6404192421392101</v>
      </c>
      <c r="AW47" s="181">
        <f t="shared" si="50"/>
        <v>0.55963302752293587</v>
      </c>
      <c r="AX47" s="181">
        <f t="shared" si="90"/>
        <v>2.1</v>
      </c>
      <c r="AY47" s="181">
        <f t="shared" si="91"/>
        <v>0.13770491803278687</v>
      </c>
      <c r="AZ47" s="181">
        <f t="shared" si="51"/>
        <v>15.250000000000004</v>
      </c>
      <c r="BA47" s="474">
        <f t="shared" si="92"/>
        <v>1.751147540983607</v>
      </c>
      <c r="BB47" s="6">
        <f t="shared" si="93"/>
        <v>0.47845561229060279</v>
      </c>
      <c r="BC47" s="6"/>
      <c r="BD47" s="181">
        <f t="shared" si="52"/>
        <v>0.27011938263352547</v>
      </c>
      <c r="BE47" s="181">
        <f t="shared" si="94"/>
        <v>0.23961359200778312</v>
      </c>
      <c r="BF47" s="181"/>
      <c r="BG47" s="548">
        <f t="shared" si="95"/>
        <v>2.5537568306010925E-2</v>
      </c>
      <c r="BH47" s="548">
        <f t="shared" si="96"/>
        <v>4.5749999999999992E-2</v>
      </c>
      <c r="BI47" s="548">
        <f t="shared" si="97"/>
        <v>3.3555977731552175E-3</v>
      </c>
      <c r="BJ47" s="548">
        <f t="shared" si="98"/>
        <v>1.1462008928571427E-2</v>
      </c>
      <c r="BK47">
        <f t="shared" si="99"/>
        <v>3.48E-3</v>
      </c>
      <c r="BL47" s="474">
        <f t="shared" si="53"/>
        <v>89.585175007737561</v>
      </c>
      <c r="BM47" s="548">
        <f t="shared" si="100"/>
        <v>4.41E-2</v>
      </c>
      <c r="BN47" s="548"/>
      <c r="BP47" s="474">
        <f t="shared" si="55"/>
        <v>44.1</v>
      </c>
      <c r="BQ47" s="548">
        <f t="shared" si="101"/>
        <v>0</v>
      </c>
      <c r="BR47" s="548">
        <f t="shared" si="102"/>
        <v>0</v>
      </c>
      <c r="BS47" s="548">
        <f t="shared" si="103"/>
        <v>1.8261291279606049E-2</v>
      </c>
      <c r="BT47" s="548">
        <f t="shared" si="104"/>
        <v>0.11025000000000001</v>
      </c>
      <c r="BU47" s="474">
        <f t="shared" si="56"/>
        <v>128.51129127960607</v>
      </c>
      <c r="BV47" s="181">
        <f t="shared" si="57"/>
        <v>0.26219646628734361</v>
      </c>
      <c r="BW47" s="6">
        <f t="shared" si="58"/>
        <v>1.8900000000000001</v>
      </c>
      <c r="BX47" s="181">
        <f t="shared" si="59"/>
        <v>0.87817261556067561</v>
      </c>
      <c r="BY47" s="6">
        <f t="shared" si="60"/>
        <v>87.817261556067564</v>
      </c>
      <c r="CB47" s="583">
        <f t="shared" si="105"/>
        <v>-50</v>
      </c>
      <c r="CC47">
        <f t="shared" si="106"/>
        <v>-50</v>
      </c>
    </row>
    <row r="48" spans="5:81" x14ac:dyDescent="0.2">
      <c r="E48" s="178">
        <v>43</v>
      </c>
      <c r="F48" s="225">
        <f t="shared" si="107"/>
        <v>0.129</v>
      </c>
      <c r="G48" s="225"/>
      <c r="H48" s="225">
        <f t="shared" si="62"/>
        <v>1.9350000000000001</v>
      </c>
      <c r="I48" s="561">
        <f t="shared" si="63"/>
        <v>12</v>
      </c>
      <c r="J48" s="180">
        <f t="shared" si="64"/>
        <v>15.25</v>
      </c>
      <c r="K48" s="456">
        <f t="shared" si="65"/>
        <v>27.25</v>
      </c>
      <c r="L48" s="456"/>
      <c r="M48" s="225">
        <f t="shared" si="66"/>
        <v>0.55963302752293576</v>
      </c>
      <c r="N48" s="180">
        <f t="shared" si="5"/>
        <v>4.3819266055045869</v>
      </c>
      <c r="O48" s="180">
        <f t="shared" si="46"/>
        <v>1.9350000000000001</v>
      </c>
      <c r="P48" s="225">
        <f t="shared" si="67"/>
        <v>0.29212844036697244</v>
      </c>
      <c r="Q48" s="225">
        <f t="shared" si="68"/>
        <v>15</v>
      </c>
      <c r="R48" s="225">
        <f t="shared" si="69"/>
        <v>0.32458715596330273</v>
      </c>
      <c r="S48" s="180">
        <f t="shared" si="70"/>
        <v>48.758887805285021</v>
      </c>
      <c r="T48" s="180">
        <f t="shared" si="71"/>
        <v>15</v>
      </c>
      <c r="U48" s="225">
        <f t="shared" si="72"/>
        <v>0.64030054644808743</v>
      </c>
      <c r="V48" s="225">
        <f t="shared" si="73"/>
        <v>2.134335154826958</v>
      </c>
      <c r="W48" s="225">
        <f t="shared" si="74"/>
        <v>1.6794768431425244</v>
      </c>
      <c r="X48" s="205">
        <f t="shared" si="75"/>
        <v>350</v>
      </c>
      <c r="Y48" s="456">
        <f t="shared" si="47"/>
        <v>262.20484925119843</v>
      </c>
      <c r="AA48" s="225">
        <f t="shared" si="76"/>
        <v>0.47968545216251629</v>
      </c>
      <c r="AB48" s="181">
        <f t="shared" si="77"/>
        <v>1.258191349934469</v>
      </c>
      <c r="AC48" s="181">
        <f t="shared" si="78"/>
        <v>0.10561881515504945</v>
      </c>
      <c r="AD48" s="181"/>
      <c r="AE48" s="181">
        <f t="shared" si="79"/>
        <v>0.76065573770491812</v>
      </c>
      <c r="AF48" s="565">
        <f t="shared" si="108"/>
        <v>1169.5897740784781</v>
      </c>
      <c r="AG48" s="548">
        <f t="shared" si="80"/>
        <v>3.8603278688524589E-2</v>
      </c>
      <c r="AI48" s="181">
        <f t="shared" si="81"/>
        <v>0.55880399494089583</v>
      </c>
      <c r="AJ48" s="181">
        <f t="shared" si="82"/>
        <v>0.64030054644808743</v>
      </c>
      <c r="AK48" s="181">
        <f t="shared" si="83"/>
        <v>1.4594818862578425</v>
      </c>
      <c r="AM48" s="565">
        <f t="shared" si="84"/>
        <v>129</v>
      </c>
      <c r="AN48" s="474">
        <f t="shared" si="85"/>
        <v>262.20484925119843</v>
      </c>
      <c r="AP48">
        <f t="shared" si="86"/>
        <v>129</v>
      </c>
      <c r="AQ48" s="474">
        <f t="shared" si="87"/>
        <v>262.20484925119843</v>
      </c>
      <c r="AR48" s="474"/>
      <c r="AS48" s="6">
        <f t="shared" si="48"/>
        <v>3.8138119979694824</v>
      </c>
      <c r="AT48" s="6">
        <f t="shared" si="88"/>
        <v>2.134335154826958</v>
      </c>
      <c r="AU48" s="6">
        <f t="shared" si="49"/>
        <v>1.6794768431425244</v>
      </c>
      <c r="AV48" s="6">
        <f t="shared" si="89"/>
        <v>1.6794768431425244</v>
      </c>
      <c r="AW48" s="181">
        <f t="shared" si="50"/>
        <v>0.55963302752293576</v>
      </c>
      <c r="AX48" s="181">
        <f t="shared" si="90"/>
        <v>2.1500000000000004</v>
      </c>
      <c r="AY48" s="181">
        <f t="shared" si="91"/>
        <v>0.14098360655737704</v>
      </c>
      <c r="AZ48" s="181">
        <f t="shared" si="51"/>
        <v>15.250000000000004</v>
      </c>
      <c r="BA48" s="474">
        <f t="shared" si="92"/>
        <v>1.8355282331511837</v>
      </c>
      <c r="BB48" s="6">
        <f t="shared" si="93"/>
        <v>0.50151044621617047</v>
      </c>
      <c r="BC48" s="6"/>
      <c r="BD48" s="181">
        <f t="shared" si="52"/>
        <v>0.27655079650575226</v>
      </c>
      <c r="BE48" s="181">
        <f t="shared" si="94"/>
        <v>0.24531867753177794</v>
      </c>
      <c r="BF48" s="181"/>
      <c r="BG48" s="548">
        <f t="shared" si="95"/>
        <v>2.6768120066788099E-2</v>
      </c>
      <c r="BH48" s="548">
        <f t="shared" si="96"/>
        <v>4.5749999999999999E-2</v>
      </c>
      <c r="BI48" s="548">
        <f t="shared" si="97"/>
        <v>3.2775606156399801E-3</v>
      </c>
      <c r="BJ48" s="548">
        <f t="shared" si="98"/>
        <v>1.1195450581395349E-2</v>
      </c>
      <c r="BK48">
        <f t="shared" si="99"/>
        <v>3.48E-3</v>
      </c>
      <c r="BL48" s="474">
        <f t="shared" si="53"/>
        <v>90.471131263823423</v>
      </c>
      <c r="BM48" s="548">
        <f t="shared" si="100"/>
        <v>4.5149999999999996E-2</v>
      </c>
      <c r="BN48" s="548"/>
      <c r="BP48" s="474">
        <f t="shared" si="55"/>
        <v>45.15</v>
      </c>
      <c r="BQ48" s="548">
        <f t="shared" si="101"/>
        <v>0</v>
      </c>
      <c r="BR48" s="548">
        <f t="shared" si="102"/>
        <v>0</v>
      </c>
      <c r="BS48" s="548">
        <f t="shared" si="103"/>
        <v>1.8261291279606073E-2</v>
      </c>
      <c r="BT48" s="548">
        <f t="shared" si="104"/>
        <v>0.11287500000000002</v>
      </c>
      <c r="BU48" s="474">
        <f t="shared" si="56"/>
        <v>131.13629127960607</v>
      </c>
      <c r="BV48" s="181">
        <f t="shared" si="57"/>
        <v>0.26675742254342949</v>
      </c>
      <c r="BW48" s="6">
        <f t="shared" si="58"/>
        <v>1.9350000000000001</v>
      </c>
      <c r="BX48" s="181">
        <f t="shared" si="59"/>
        <v>0.87884340944549832</v>
      </c>
      <c r="BY48" s="6">
        <f t="shared" si="60"/>
        <v>87.884340944549834</v>
      </c>
      <c r="CB48" s="583">
        <f t="shared" si="105"/>
        <v>-50</v>
      </c>
      <c r="CC48">
        <f t="shared" si="106"/>
        <v>-50</v>
      </c>
    </row>
    <row r="49" spans="5:81" x14ac:dyDescent="0.2">
      <c r="E49" s="178">
        <v>44</v>
      </c>
      <c r="F49" s="225">
        <f t="shared" si="107"/>
        <v>0.13200000000000001</v>
      </c>
      <c r="G49" s="225"/>
      <c r="H49" s="225">
        <f t="shared" si="62"/>
        <v>1.98</v>
      </c>
      <c r="I49" s="561">
        <f t="shared" si="63"/>
        <v>12</v>
      </c>
      <c r="J49" s="180">
        <f t="shared" si="64"/>
        <v>15.25</v>
      </c>
      <c r="K49" s="456">
        <f t="shared" si="65"/>
        <v>27.25</v>
      </c>
      <c r="L49" s="456"/>
      <c r="M49" s="225">
        <f t="shared" si="66"/>
        <v>0.55963302752293576</v>
      </c>
      <c r="N49" s="180">
        <f t="shared" si="5"/>
        <v>4.3819266055045869</v>
      </c>
      <c r="O49" s="180">
        <f t="shared" si="46"/>
        <v>1.98</v>
      </c>
      <c r="P49" s="225">
        <f t="shared" si="67"/>
        <v>0.29212844036697244</v>
      </c>
      <c r="Q49" s="225">
        <f t="shared" si="68"/>
        <v>15</v>
      </c>
      <c r="R49" s="225">
        <f t="shared" si="69"/>
        <v>0.32458715596330273</v>
      </c>
      <c r="S49" s="180">
        <f t="shared" si="70"/>
        <v>47.381165789920651</v>
      </c>
      <c r="T49" s="180">
        <f t="shared" si="71"/>
        <v>15</v>
      </c>
      <c r="U49" s="225">
        <f t="shared" si="72"/>
        <v>0.65519125683060109</v>
      </c>
      <c r="V49" s="225">
        <f t="shared" si="73"/>
        <v>2.1839708561020039</v>
      </c>
      <c r="W49" s="225">
        <f t="shared" si="74"/>
        <v>1.718534444145839</v>
      </c>
      <c r="X49" s="205">
        <f t="shared" si="75"/>
        <v>350</v>
      </c>
      <c r="Y49" s="456">
        <f t="shared" si="47"/>
        <v>256.24564813185299</v>
      </c>
      <c r="AA49" s="225">
        <f t="shared" si="76"/>
        <v>0.47968545216251629</v>
      </c>
      <c r="AB49" s="181">
        <f t="shared" si="77"/>
        <v>1.258191349934469</v>
      </c>
      <c r="AC49" s="181">
        <f t="shared" si="78"/>
        <v>0.10561881515504945</v>
      </c>
      <c r="AD49" s="181"/>
      <c r="AE49" s="181">
        <f t="shared" si="79"/>
        <v>0.76065573770491812</v>
      </c>
      <c r="AF49" s="565">
        <f t="shared" si="108"/>
        <v>1196.7895362663496</v>
      </c>
      <c r="AG49" s="548">
        <f t="shared" si="80"/>
        <v>3.8603278688524589E-2</v>
      </c>
      <c r="AI49" s="181">
        <f t="shared" si="81"/>
        <v>0.56526437135539465</v>
      </c>
      <c r="AJ49" s="181">
        <f t="shared" si="82"/>
        <v>0.65519125683060109</v>
      </c>
      <c r="AK49" s="181">
        <f t="shared" si="83"/>
        <v>1.4705120420967415</v>
      </c>
      <c r="AM49" s="565">
        <f t="shared" si="84"/>
        <v>132</v>
      </c>
      <c r="AN49" s="474">
        <f t="shared" si="85"/>
        <v>256.24564813185299</v>
      </c>
      <c r="AP49">
        <f t="shared" si="86"/>
        <v>132</v>
      </c>
      <c r="AQ49" s="474">
        <f t="shared" si="87"/>
        <v>256.24564813185299</v>
      </c>
      <c r="AR49" s="474"/>
      <c r="AS49" s="6">
        <f t="shared" si="48"/>
        <v>3.9025053002478427</v>
      </c>
      <c r="AT49" s="6">
        <f t="shared" si="88"/>
        <v>2.1839708561020039</v>
      </c>
      <c r="AU49" s="6">
        <f t="shared" si="49"/>
        <v>1.7185344441458388</v>
      </c>
      <c r="AV49" s="6">
        <f t="shared" si="89"/>
        <v>1.718534444145839</v>
      </c>
      <c r="AW49" s="181">
        <f t="shared" si="50"/>
        <v>0.55963302752293587</v>
      </c>
      <c r="AX49" s="181">
        <f t="shared" si="90"/>
        <v>2.1999999999999997</v>
      </c>
      <c r="AY49" s="181">
        <f t="shared" si="91"/>
        <v>0.1442622950819672</v>
      </c>
      <c r="AZ49" s="181">
        <f t="shared" si="51"/>
        <v>15.25</v>
      </c>
      <c r="BA49" s="474">
        <f t="shared" si="92"/>
        <v>1.9218943533697632</v>
      </c>
      <c r="BB49" s="6">
        <f t="shared" si="93"/>
        <v>0.52510774682233952</v>
      </c>
      <c r="BC49" s="6"/>
      <c r="BD49" s="181">
        <f t="shared" si="52"/>
        <v>0.2829822103779791</v>
      </c>
      <c r="BE49" s="181">
        <f t="shared" si="94"/>
        <v>0.25102376305577279</v>
      </c>
      <c r="BF49" s="181"/>
      <c r="BG49" s="548">
        <f t="shared" si="95"/>
        <v>2.8027625986642386E-2</v>
      </c>
      <c r="BH49" s="548">
        <f t="shared" si="96"/>
        <v>4.5749999999999992E-2</v>
      </c>
      <c r="BI49" s="548">
        <f t="shared" si="97"/>
        <v>3.203070601648162E-3</v>
      </c>
      <c r="BJ49" s="548">
        <f t="shared" si="98"/>
        <v>1.0941008522727272E-2</v>
      </c>
      <c r="BK49">
        <f t="shared" si="99"/>
        <v>3.48E-3</v>
      </c>
      <c r="BL49" s="474">
        <f t="shared" si="53"/>
        <v>91.401705111017804</v>
      </c>
      <c r="BM49" s="548">
        <f t="shared" si="100"/>
        <v>4.6199999999999998E-2</v>
      </c>
      <c r="BN49" s="548"/>
      <c r="BP49" s="474">
        <f t="shared" si="55"/>
        <v>46.199999999999996</v>
      </c>
      <c r="BQ49" s="548">
        <f t="shared" si="101"/>
        <v>0</v>
      </c>
      <c r="BR49" s="548">
        <f t="shared" si="102"/>
        <v>0</v>
      </c>
      <c r="BS49" s="548">
        <f t="shared" si="103"/>
        <v>1.8261291279606053E-2</v>
      </c>
      <c r="BT49" s="548">
        <f t="shared" si="104"/>
        <v>0.11550000000000001</v>
      </c>
      <c r="BU49" s="474">
        <f t="shared" si="56"/>
        <v>133.76129127960607</v>
      </c>
      <c r="BV49" s="181">
        <f t="shared" si="57"/>
        <v>0.27136299639062383</v>
      </c>
      <c r="BW49" s="6">
        <f t="shared" si="58"/>
        <v>1.98</v>
      </c>
      <c r="BX49" s="181">
        <f t="shared" si="59"/>
        <v>0.87946723970071827</v>
      </c>
      <c r="BY49" s="6">
        <f t="shared" si="60"/>
        <v>87.94672397007183</v>
      </c>
      <c r="CB49" s="583">
        <f t="shared" si="105"/>
        <v>-50</v>
      </c>
      <c r="CC49">
        <f t="shared" si="106"/>
        <v>-50</v>
      </c>
    </row>
    <row r="50" spans="5:81" x14ac:dyDescent="0.2">
      <c r="E50" s="178">
        <v>45</v>
      </c>
      <c r="F50" s="225">
        <f t="shared" si="107"/>
        <v>0.13500000000000001</v>
      </c>
      <c r="G50" s="225"/>
      <c r="H50" s="225">
        <f t="shared" si="62"/>
        <v>2.0250000000000004</v>
      </c>
      <c r="I50" s="561">
        <f t="shared" si="63"/>
        <v>12</v>
      </c>
      <c r="J50" s="180">
        <f t="shared" si="64"/>
        <v>15.25</v>
      </c>
      <c r="K50" s="456">
        <f t="shared" si="65"/>
        <v>27.25</v>
      </c>
      <c r="L50" s="456"/>
      <c r="M50" s="225">
        <f t="shared" si="66"/>
        <v>0.55963302752293576</v>
      </c>
      <c r="N50" s="180">
        <f t="shared" si="5"/>
        <v>4.3819266055045869</v>
      </c>
      <c r="O50" s="180">
        <f t="shared" si="46"/>
        <v>2.0250000000000004</v>
      </c>
      <c r="P50" s="225">
        <f t="shared" si="67"/>
        <v>0.29212844036697244</v>
      </c>
      <c r="Q50" s="225">
        <f t="shared" si="68"/>
        <v>15</v>
      </c>
      <c r="R50" s="225">
        <f t="shared" si="69"/>
        <v>0.32458715596330273</v>
      </c>
      <c r="S50" s="180">
        <f t="shared" si="70"/>
        <v>46.064774147239987</v>
      </c>
      <c r="T50" s="180">
        <f t="shared" si="71"/>
        <v>15</v>
      </c>
      <c r="U50" s="225">
        <f t="shared" si="72"/>
        <v>0.67008196721311486</v>
      </c>
      <c r="V50" s="225">
        <f t="shared" si="73"/>
        <v>2.2336065573770494</v>
      </c>
      <c r="W50" s="225">
        <f t="shared" si="74"/>
        <v>1.7575920451491538</v>
      </c>
      <c r="X50" s="205">
        <f t="shared" si="75"/>
        <v>350</v>
      </c>
      <c r="Y50" s="456">
        <f t="shared" si="47"/>
        <v>250.55130039558961</v>
      </c>
      <c r="AA50" s="225">
        <f t="shared" si="76"/>
        <v>0.47968545216251629</v>
      </c>
      <c r="AB50" s="181">
        <f t="shared" si="77"/>
        <v>1.258191349934469</v>
      </c>
      <c r="AC50" s="181">
        <f t="shared" si="78"/>
        <v>0.10561881515504945</v>
      </c>
      <c r="AD50" s="181"/>
      <c r="AE50" s="181">
        <f t="shared" si="79"/>
        <v>0.76065573770491812</v>
      </c>
      <c r="AF50" s="565">
        <f t="shared" si="108"/>
        <v>1223.9892984542212</v>
      </c>
      <c r="AG50" s="548">
        <f t="shared" si="80"/>
        <v>3.8603278688524589E-2</v>
      </c>
      <c r="AI50" s="181">
        <f t="shared" si="81"/>
        <v>0.5716517421347671</v>
      </c>
      <c r="AJ50" s="181">
        <f t="shared" si="82"/>
        <v>0.67008196721311486</v>
      </c>
      <c r="AK50" s="181">
        <f t="shared" si="83"/>
        <v>1.4815421979356407</v>
      </c>
      <c r="AM50" s="565">
        <f t="shared" si="84"/>
        <v>135</v>
      </c>
      <c r="AN50" s="474">
        <f t="shared" si="85"/>
        <v>250.55130039558961</v>
      </c>
      <c r="AP50">
        <f t="shared" si="86"/>
        <v>135</v>
      </c>
      <c r="AQ50" s="474">
        <f t="shared" si="87"/>
        <v>250.55130039558961</v>
      </c>
      <c r="AR50" s="474"/>
      <c r="AS50" s="6">
        <f t="shared" si="48"/>
        <v>3.9911986025262021</v>
      </c>
      <c r="AT50" s="6">
        <f t="shared" si="88"/>
        <v>2.2336065573770494</v>
      </c>
      <c r="AU50" s="6">
        <f t="shared" si="49"/>
        <v>1.7575920451491527</v>
      </c>
      <c r="AV50" s="6">
        <f t="shared" si="89"/>
        <v>1.7575920451491538</v>
      </c>
      <c r="AW50" s="181">
        <f t="shared" si="50"/>
        <v>0.55963302752293587</v>
      </c>
      <c r="AX50" s="181">
        <f t="shared" si="90"/>
        <v>2.2500000000000009</v>
      </c>
      <c r="AY50" s="181">
        <f t="shared" si="91"/>
        <v>0.14754098360655737</v>
      </c>
      <c r="AZ50" s="181">
        <f t="shared" si="51"/>
        <v>15.250000000000007</v>
      </c>
      <c r="BA50" s="474">
        <f t="shared" si="92"/>
        <v>2.0102459016393444</v>
      </c>
      <c r="BB50" s="6">
        <f t="shared" si="93"/>
        <v>0.54924751410911021</v>
      </c>
      <c r="BC50" s="6"/>
      <c r="BD50" s="181">
        <f t="shared" si="52"/>
        <v>0.28941362425020595</v>
      </c>
      <c r="BE50" s="181">
        <f t="shared" si="94"/>
        <v>0.25672884857976769</v>
      </c>
      <c r="BF50" s="181"/>
      <c r="BG50" s="548">
        <f t="shared" si="95"/>
        <v>2.9316086065573788E-2</v>
      </c>
      <c r="BH50" s="548">
        <f t="shared" si="96"/>
        <v>4.5750000000000013E-2</v>
      </c>
      <c r="BI50" s="548">
        <f t="shared" si="97"/>
        <v>3.1318912549448698E-3</v>
      </c>
      <c r="BJ50" s="548">
        <f t="shared" si="98"/>
        <v>1.0697874999999999E-2</v>
      </c>
      <c r="BK50">
        <f t="shared" si="99"/>
        <v>3.48E-3</v>
      </c>
      <c r="BL50" s="474">
        <f t="shared" si="53"/>
        <v>92.375852320518661</v>
      </c>
      <c r="BM50" s="548">
        <f t="shared" si="100"/>
        <v>4.725E-2</v>
      </c>
      <c r="BN50" s="548"/>
      <c r="BP50" s="474">
        <f t="shared" si="55"/>
        <v>47.25</v>
      </c>
      <c r="BQ50" s="548">
        <f t="shared" si="101"/>
        <v>0</v>
      </c>
      <c r="BR50" s="548">
        <f t="shared" si="102"/>
        <v>0</v>
      </c>
      <c r="BS50" s="548">
        <f t="shared" si="103"/>
        <v>1.8261291279606046E-2</v>
      </c>
      <c r="BT50" s="548">
        <f t="shared" si="104"/>
        <v>0.11812500000000005</v>
      </c>
      <c r="BU50" s="474">
        <f t="shared" si="56"/>
        <v>136.3862912796061</v>
      </c>
      <c r="BV50" s="181">
        <f t="shared" si="57"/>
        <v>0.27601214360012477</v>
      </c>
      <c r="BW50" s="6">
        <f t="shared" si="58"/>
        <v>2.0250000000000004</v>
      </c>
      <c r="BX50" s="181">
        <f t="shared" si="59"/>
        <v>0.88004750676009869</v>
      </c>
      <c r="BY50" s="6">
        <f t="shared" si="60"/>
        <v>88.004750676009863</v>
      </c>
      <c r="CB50" s="583">
        <f t="shared" si="105"/>
        <v>-50</v>
      </c>
      <c r="CC50">
        <f t="shared" si="106"/>
        <v>-50</v>
      </c>
    </row>
    <row r="51" spans="5:81" x14ac:dyDescent="0.2">
      <c r="E51" s="178">
        <v>46</v>
      </c>
      <c r="F51" s="225">
        <f t="shared" si="107"/>
        <v>0.13800000000000001</v>
      </c>
      <c r="G51" s="225"/>
      <c r="H51" s="225">
        <f t="shared" si="62"/>
        <v>2.0700000000000003</v>
      </c>
      <c r="I51" s="561">
        <f t="shared" si="63"/>
        <v>12</v>
      </c>
      <c r="J51" s="180">
        <f t="shared" si="64"/>
        <v>15.25</v>
      </c>
      <c r="K51" s="456">
        <f t="shared" si="65"/>
        <v>27.25</v>
      </c>
      <c r="L51" s="456"/>
      <c r="M51" s="225">
        <f t="shared" si="66"/>
        <v>0.55963302752293576</v>
      </c>
      <c r="N51" s="180">
        <f t="shared" si="5"/>
        <v>4.3819266055045869</v>
      </c>
      <c r="O51" s="180">
        <f t="shared" si="46"/>
        <v>2.0700000000000003</v>
      </c>
      <c r="P51" s="225">
        <f t="shared" si="67"/>
        <v>0.29212844036697244</v>
      </c>
      <c r="Q51" s="225">
        <f t="shared" si="68"/>
        <v>15</v>
      </c>
      <c r="R51" s="225">
        <f t="shared" si="69"/>
        <v>0.32458715596330273</v>
      </c>
      <c r="S51" s="180">
        <f t="shared" si="70"/>
        <v>44.805714663274379</v>
      </c>
      <c r="T51" s="180">
        <f t="shared" si="71"/>
        <v>15</v>
      </c>
      <c r="U51" s="225">
        <f t="shared" si="72"/>
        <v>0.68497267759562841</v>
      </c>
      <c r="V51" s="225">
        <f t="shared" si="73"/>
        <v>2.2832422586520948</v>
      </c>
      <c r="W51" s="225">
        <f t="shared" si="74"/>
        <v>1.7966496461524681</v>
      </c>
      <c r="X51" s="205">
        <f t="shared" si="75"/>
        <v>350</v>
      </c>
      <c r="Y51" s="456">
        <f t="shared" si="47"/>
        <v>245.10453299568547</v>
      </c>
      <c r="AA51" s="225">
        <f t="shared" si="76"/>
        <v>0.47968545216251629</v>
      </c>
      <c r="AB51" s="181">
        <f t="shared" si="77"/>
        <v>1.258191349934469</v>
      </c>
      <c r="AC51" s="181">
        <f t="shared" si="78"/>
        <v>0.10561881515504945</v>
      </c>
      <c r="AD51" s="181"/>
      <c r="AE51" s="181">
        <f t="shared" si="79"/>
        <v>0.76065573770491812</v>
      </c>
      <c r="AF51" s="565">
        <f t="shared" si="108"/>
        <v>1251.1890606420927</v>
      </c>
      <c r="AG51" s="548">
        <f t="shared" si="80"/>
        <v>3.8603278688524589E-2</v>
      </c>
      <c r="AI51" s="181">
        <f t="shared" si="81"/>
        <v>0.57796852773106866</v>
      </c>
      <c r="AJ51" s="181">
        <f t="shared" si="82"/>
        <v>0.68497267759562841</v>
      </c>
      <c r="AK51" s="181">
        <f t="shared" si="83"/>
        <v>1.4925723537745395</v>
      </c>
      <c r="AM51" s="565">
        <f t="shared" si="84"/>
        <v>138</v>
      </c>
      <c r="AN51" s="474">
        <f t="shared" si="85"/>
        <v>245.10453299568547</v>
      </c>
      <c r="AP51">
        <f t="shared" si="86"/>
        <v>138</v>
      </c>
      <c r="AQ51" s="474">
        <f t="shared" si="87"/>
        <v>245.10453299568547</v>
      </c>
      <c r="AR51" s="474"/>
      <c r="AS51" s="6">
        <f t="shared" si="48"/>
        <v>4.0798919048045628</v>
      </c>
      <c r="AT51" s="6">
        <f t="shared" si="88"/>
        <v>2.2832422586520948</v>
      </c>
      <c r="AU51" s="6">
        <f t="shared" si="49"/>
        <v>1.7966496461524679</v>
      </c>
      <c r="AV51" s="6">
        <f t="shared" si="89"/>
        <v>1.7966496461524681</v>
      </c>
      <c r="AW51" s="181">
        <f t="shared" si="50"/>
        <v>0.55963302752293576</v>
      </c>
      <c r="AX51" s="181">
        <f t="shared" si="90"/>
        <v>2.2999999999999998</v>
      </c>
      <c r="AY51" s="181">
        <f t="shared" si="91"/>
        <v>0.15081967213114755</v>
      </c>
      <c r="AZ51" s="181">
        <f t="shared" si="51"/>
        <v>15.249999999999998</v>
      </c>
      <c r="BA51" s="474">
        <f t="shared" si="92"/>
        <v>2.1005828779599276</v>
      </c>
      <c r="BB51" s="6">
        <f t="shared" si="93"/>
        <v>0.57392974807648278</v>
      </c>
      <c r="BC51" s="6"/>
      <c r="BD51" s="181">
        <f t="shared" si="52"/>
        <v>0.29584503812243262</v>
      </c>
      <c r="BE51" s="181">
        <f t="shared" si="94"/>
        <v>0.26243393410376248</v>
      </c>
      <c r="BF51" s="181"/>
      <c r="BG51" s="548">
        <f t="shared" si="95"/>
        <v>3.0633500303582261E-2</v>
      </c>
      <c r="BH51" s="548">
        <f t="shared" si="96"/>
        <v>4.5749999999999999E-2</v>
      </c>
      <c r="BI51" s="548">
        <f t="shared" si="97"/>
        <v>3.0638066624460681E-3</v>
      </c>
      <c r="BJ51" s="548">
        <f t="shared" si="98"/>
        <v>1.0465312499999999E-2</v>
      </c>
      <c r="BK51">
        <f t="shared" si="99"/>
        <v>3.48E-3</v>
      </c>
      <c r="BL51" s="474">
        <f t="shared" si="53"/>
        <v>93.392619466028336</v>
      </c>
      <c r="BM51" s="548">
        <f t="shared" si="100"/>
        <v>4.8300000000000003E-2</v>
      </c>
      <c r="BN51" s="548"/>
      <c r="BP51" s="474">
        <f t="shared" si="55"/>
        <v>48.300000000000004</v>
      </c>
      <c r="BQ51" s="548">
        <f t="shared" si="101"/>
        <v>0</v>
      </c>
      <c r="BR51" s="548">
        <f t="shared" si="102"/>
        <v>0</v>
      </c>
      <c r="BS51" s="548">
        <f t="shared" si="103"/>
        <v>1.8261291279606059E-2</v>
      </c>
      <c r="BT51" s="548">
        <f t="shared" si="104"/>
        <v>0.12075000000000001</v>
      </c>
      <c r="BU51" s="474">
        <f t="shared" si="56"/>
        <v>139.01129127960607</v>
      </c>
      <c r="BV51" s="181">
        <f t="shared" si="57"/>
        <v>0.28070391074563444</v>
      </c>
      <c r="BW51" s="6">
        <f t="shared" si="58"/>
        <v>2.0700000000000003</v>
      </c>
      <c r="BX51" s="181">
        <f t="shared" si="59"/>
        <v>0.88058729580426143</v>
      </c>
      <c r="BY51" s="6">
        <f t="shared" si="60"/>
        <v>88.058729580426146</v>
      </c>
      <c r="CB51" s="583">
        <f t="shared" si="105"/>
        <v>-50</v>
      </c>
      <c r="CC51">
        <f t="shared" si="106"/>
        <v>-50</v>
      </c>
    </row>
    <row r="52" spans="5:81" x14ac:dyDescent="0.2">
      <c r="E52" s="178">
        <v>47</v>
      </c>
      <c r="F52" s="225">
        <f t="shared" si="107"/>
        <v>0.14099999999999999</v>
      </c>
      <c r="G52" s="225"/>
      <c r="H52" s="225">
        <f t="shared" si="62"/>
        <v>2.1149999999999998</v>
      </c>
      <c r="I52" s="561">
        <f t="shared" si="63"/>
        <v>12</v>
      </c>
      <c r="J52" s="180">
        <f t="shared" si="64"/>
        <v>15.25</v>
      </c>
      <c r="K52" s="456">
        <f t="shared" si="65"/>
        <v>27.25</v>
      </c>
      <c r="L52" s="456"/>
      <c r="M52" s="225">
        <f t="shared" si="66"/>
        <v>0.55963302752293576</v>
      </c>
      <c r="N52" s="180">
        <f t="shared" si="5"/>
        <v>4.3819266055045869</v>
      </c>
      <c r="O52" s="180">
        <f t="shared" si="46"/>
        <v>2.1149999999999998</v>
      </c>
      <c r="P52" s="225">
        <f t="shared" si="67"/>
        <v>0.29212844036697244</v>
      </c>
      <c r="Q52" s="225">
        <f t="shared" si="68"/>
        <v>15</v>
      </c>
      <c r="R52" s="225">
        <f t="shared" si="69"/>
        <v>0.32458715596330273</v>
      </c>
      <c r="S52" s="180">
        <f t="shared" si="70"/>
        <v>43.600329430951888</v>
      </c>
      <c r="T52" s="180">
        <f t="shared" si="71"/>
        <v>15</v>
      </c>
      <c r="U52" s="225">
        <f t="shared" si="72"/>
        <v>0.69986338797814196</v>
      </c>
      <c r="V52" s="225">
        <f t="shared" si="73"/>
        <v>2.3328779599271403</v>
      </c>
      <c r="W52" s="225">
        <f t="shared" si="74"/>
        <v>1.8357072471557823</v>
      </c>
      <c r="X52" s="205">
        <f t="shared" si="75"/>
        <v>350</v>
      </c>
      <c r="Y52" s="456">
        <f t="shared" si="47"/>
        <v>239.88954293194749</v>
      </c>
      <c r="AA52" s="225">
        <f t="shared" si="76"/>
        <v>0.47968545216251629</v>
      </c>
      <c r="AB52" s="181">
        <f t="shared" si="77"/>
        <v>1.258191349934469</v>
      </c>
      <c r="AC52" s="181">
        <f t="shared" si="78"/>
        <v>0.10561881515504945</v>
      </c>
      <c r="AD52" s="181"/>
      <c r="AE52" s="181">
        <f t="shared" si="79"/>
        <v>0.76065573770491812</v>
      </c>
      <c r="AF52" s="565">
        <f t="shared" si="108"/>
        <v>1278.3888228299641</v>
      </c>
      <c r="AG52" s="548">
        <f t="shared" si="80"/>
        <v>3.8603278688524589E-2</v>
      </c>
      <c r="AI52" s="181">
        <f t="shared" si="81"/>
        <v>0.58421701773358481</v>
      </c>
      <c r="AJ52" s="181">
        <f t="shared" si="82"/>
        <v>0.69986338797814196</v>
      </c>
      <c r="AK52" s="181">
        <f t="shared" si="83"/>
        <v>1.5036025096134384</v>
      </c>
      <c r="AM52" s="565">
        <f t="shared" si="84"/>
        <v>141</v>
      </c>
      <c r="AN52" s="474">
        <f t="shared" si="85"/>
        <v>239.88954293194749</v>
      </c>
      <c r="AP52">
        <f t="shared" si="86"/>
        <v>141</v>
      </c>
      <c r="AQ52" s="474">
        <f t="shared" si="87"/>
        <v>239.88954293194749</v>
      </c>
      <c r="AR52" s="474"/>
      <c r="AS52" s="6">
        <f t="shared" si="48"/>
        <v>4.1685852070829226</v>
      </c>
      <c r="AT52" s="6">
        <f t="shared" si="88"/>
        <v>2.3328779599271403</v>
      </c>
      <c r="AU52" s="6">
        <f t="shared" si="49"/>
        <v>1.8357072471557823</v>
      </c>
      <c r="AV52" s="6">
        <f t="shared" si="89"/>
        <v>1.8357072471557823</v>
      </c>
      <c r="AW52" s="181">
        <f t="shared" si="50"/>
        <v>0.55963302752293587</v>
      </c>
      <c r="AX52" s="181">
        <f t="shared" si="90"/>
        <v>2.3499999999999992</v>
      </c>
      <c r="AY52" s="181">
        <f t="shared" si="91"/>
        <v>0.15409836065573765</v>
      </c>
      <c r="AZ52" s="181">
        <f t="shared" si="51"/>
        <v>15.25</v>
      </c>
      <c r="BA52" s="474">
        <f t="shared" si="92"/>
        <v>2.1929052823315116</v>
      </c>
      <c r="BB52" s="6">
        <f t="shared" si="93"/>
        <v>0.59915444872445656</v>
      </c>
      <c r="BC52" s="6"/>
      <c r="BD52" s="181">
        <f t="shared" si="52"/>
        <v>0.30227645199465941</v>
      </c>
      <c r="BE52" s="181">
        <f t="shared" si="94"/>
        <v>0.26813901962775727</v>
      </c>
      <c r="BF52" s="181"/>
      <c r="BG52" s="548">
        <f t="shared" si="95"/>
        <v>3.1979868700667873E-2</v>
      </c>
      <c r="BH52" s="548">
        <f t="shared" si="96"/>
        <v>4.5749999999999999E-2</v>
      </c>
      <c r="BI52" s="548">
        <f t="shared" si="97"/>
        <v>2.9986192866493433E-3</v>
      </c>
      <c r="BJ52" s="548">
        <f t="shared" si="98"/>
        <v>1.0242646276595744E-2</v>
      </c>
      <c r="BK52">
        <f t="shared" si="99"/>
        <v>3.48E-3</v>
      </c>
      <c r="BL52" s="474">
        <f t="shared" si="53"/>
        <v>94.451134263912934</v>
      </c>
      <c r="BM52" s="548">
        <f t="shared" si="100"/>
        <v>4.9349999999999991E-2</v>
      </c>
      <c r="BN52" s="548"/>
      <c r="BP52" s="474">
        <f t="shared" si="55"/>
        <v>49.349999999999994</v>
      </c>
      <c r="BQ52" s="548">
        <f t="shared" si="101"/>
        <v>0</v>
      </c>
      <c r="BR52" s="548">
        <f t="shared" si="102"/>
        <v>0</v>
      </c>
      <c r="BS52" s="548">
        <f t="shared" si="103"/>
        <v>1.8261291279606039E-2</v>
      </c>
      <c r="BT52" s="548">
        <f t="shared" si="104"/>
        <v>0.12337499999999997</v>
      </c>
      <c r="BU52" s="474">
        <f t="shared" si="56"/>
        <v>141.63629127960601</v>
      </c>
      <c r="BV52" s="181">
        <f t="shared" si="57"/>
        <v>0.28543742554351897</v>
      </c>
      <c r="BW52" s="6">
        <f t="shared" si="58"/>
        <v>2.1149999999999998</v>
      </c>
      <c r="BX52" s="181">
        <f t="shared" si="59"/>
        <v>0.88108941207709723</v>
      </c>
      <c r="BY52" s="6">
        <f t="shared" si="60"/>
        <v>88.108941207709719</v>
      </c>
      <c r="CB52" s="583">
        <f t="shared" si="105"/>
        <v>-50</v>
      </c>
      <c r="CC52">
        <f t="shared" si="106"/>
        <v>-50</v>
      </c>
    </row>
    <row r="53" spans="5:81" x14ac:dyDescent="0.2">
      <c r="E53" s="178">
        <v>48</v>
      </c>
      <c r="F53" s="225">
        <f t="shared" si="107"/>
        <v>0.14399999999999999</v>
      </c>
      <c r="G53" s="225"/>
      <c r="H53" s="225">
        <f t="shared" si="62"/>
        <v>2.1599999999999997</v>
      </c>
      <c r="I53" s="561">
        <f t="shared" si="63"/>
        <v>12</v>
      </c>
      <c r="J53" s="180">
        <f t="shared" si="64"/>
        <v>15.25</v>
      </c>
      <c r="K53" s="456">
        <f t="shared" si="65"/>
        <v>27.25</v>
      </c>
      <c r="L53" s="456"/>
      <c r="M53" s="225">
        <f t="shared" si="66"/>
        <v>0.55963302752293576</v>
      </c>
      <c r="N53" s="180">
        <f t="shared" si="5"/>
        <v>4.3819266055045869</v>
      </c>
      <c r="O53" s="180">
        <f t="shared" si="46"/>
        <v>2.1599999999999997</v>
      </c>
      <c r="P53" s="225">
        <f t="shared" si="67"/>
        <v>0.29212844036697244</v>
      </c>
      <c r="Q53" s="225">
        <f t="shared" si="68"/>
        <v>15</v>
      </c>
      <c r="R53" s="225">
        <f t="shared" si="69"/>
        <v>0.32458715596330273</v>
      </c>
      <c r="S53" s="180">
        <f t="shared" si="70"/>
        <v>42.445265402304727</v>
      </c>
      <c r="T53" s="180">
        <f t="shared" si="71"/>
        <v>15</v>
      </c>
      <c r="U53" s="225">
        <f t="shared" si="72"/>
        <v>0.71475409836065562</v>
      </c>
      <c r="V53" s="225">
        <f t="shared" si="73"/>
        <v>2.3825136612021853</v>
      </c>
      <c r="W53" s="225">
        <f t="shared" si="74"/>
        <v>1.8747648481590968</v>
      </c>
      <c r="X53" s="205">
        <f t="shared" si="75"/>
        <v>350</v>
      </c>
      <c r="Y53" s="456">
        <f t="shared" si="47"/>
        <v>234.89184412086527</v>
      </c>
      <c r="AA53" s="225">
        <f t="shared" si="76"/>
        <v>0.47968545216251629</v>
      </c>
      <c r="AB53" s="181">
        <f t="shared" si="77"/>
        <v>1.258191349934469</v>
      </c>
      <c r="AC53" s="181">
        <f t="shared" si="78"/>
        <v>0.10561881515504945</v>
      </c>
      <c r="AD53" s="181"/>
      <c r="AE53" s="181">
        <f t="shared" si="79"/>
        <v>0.76065573770491812</v>
      </c>
      <c r="AF53" s="565">
        <f t="shared" si="108"/>
        <v>1305.5885850178356</v>
      </c>
      <c r="AG53" s="548">
        <f t="shared" si="80"/>
        <v>3.8603278688524589E-2</v>
      </c>
      <c r="AI53" s="181">
        <f t="shared" si="81"/>
        <v>0.59039938056490926</v>
      </c>
      <c r="AJ53" s="181">
        <f t="shared" si="82"/>
        <v>0.71475409836065562</v>
      </c>
      <c r="AK53" s="181">
        <f t="shared" si="83"/>
        <v>1.5146326654523374</v>
      </c>
      <c r="AM53" s="565">
        <f t="shared" si="84"/>
        <v>144</v>
      </c>
      <c r="AN53" s="474">
        <f t="shared" si="85"/>
        <v>234.89184412086527</v>
      </c>
      <c r="AP53">
        <f t="shared" si="86"/>
        <v>144</v>
      </c>
      <c r="AQ53" s="474">
        <f t="shared" si="87"/>
        <v>234.89184412086527</v>
      </c>
      <c r="AR53" s="474"/>
      <c r="AS53" s="6">
        <f t="shared" si="48"/>
        <v>4.2572785093612824</v>
      </c>
      <c r="AT53" s="6">
        <f t="shared" si="88"/>
        <v>2.3825136612021853</v>
      </c>
      <c r="AU53" s="6">
        <f t="shared" si="49"/>
        <v>1.8747648481590971</v>
      </c>
      <c r="AV53" s="6">
        <f t="shared" si="89"/>
        <v>1.8747648481590968</v>
      </c>
      <c r="AW53" s="181">
        <f t="shared" si="50"/>
        <v>0.55963302752293576</v>
      </c>
      <c r="AX53" s="181">
        <f t="shared" si="90"/>
        <v>2.4</v>
      </c>
      <c r="AY53" s="181">
        <f t="shared" si="91"/>
        <v>0.15737704918032785</v>
      </c>
      <c r="AZ53" s="181">
        <f t="shared" si="51"/>
        <v>15.25</v>
      </c>
      <c r="BA53" s="474">
        <f t="shared" si="92"/>
        <v>2.2872131147540977</v>
      </c>
      <c r="BB53" s="6">
        <f t="shared" si="93"/>
        <v>0.6249216160530322</v>
      </c>
      <c r="BC53" s="6"/>
      <c r="BD53" s="181">
        <f t="shared" si="52"/>
        <v>0.3087078658668862</v>
      </c>
      <c r="BE53" s="181">
        <f t="shared" si="94"/>
        <v>0.27384410515175206</v>
      </c>
      <c r="BF53" s="181"/>
      <c r="BG53" s="548">
        <f t="shared" si="95"/>
        <v>3.3355191256830591E-2</v>
      </c>
      <c r="BH53" s="548">
        <f t="shared" si="96"/>
        <v>4.5749999999999999E-2</v>
      </c>
      <c r="BI53" s="548">
        <f t="shared" si="97"/>
        <v>2.9361480515108155E-3</v>
      </c>
      <c r="BJ53" s="548">
        <f t="shared" si="98"/>
        <v>1.0029257812499999E-2</v>
      </c>
      <c r="BK53">
        <f t="shared" si="99"/>
        <v>3.48E-3</v>
      </c>
      <c r="BL53" s="474">
        <f t="shared" si="53"/>
        <v>95.550597120841388</v>
      </c>
      <c r="BM53" s="548">
        <f t="shared" si="100"/>
        <v>5.0399999999999993E-2</v>
      </c>
      <c r="BN53" s="548"/>
      <c r="BP53" s="474">
        <f t="shared" si="55"/>
        <v>50.399999999999991</v>
      </c>
      <c r="BQ53" s="548">
        <f t="shared" si="101"/>
        <v>0</v>
      </c>
      <c r="BR53" s="548">
        <f t="shared" si="102"/>
        <v>0</v>
      </c>
      <c r="BS53" s="548">
        <f t="shared" si="103"/>
        <v>1.8261291279606035E-2</v>
      </c>
      <c r="BT53" s="548">
        <f t="shared" si="104"/>
        <v>0.126</v>
      </c>
      <c r="BU53" s="474">
        <f t="shared" si="56"/>
        <v>144.26129127960604</v>
      </c>
      <c r="BV53" s="181">
        <f t="shared" si="57"/>
        <v>0.29021188840044743</v>
      </c>
      <c r="BW53" s="6">
        <f t="shared" si="58"/>
        <v>2.1599999999999997</v>
      </c>
      <c r="BX53" s="181">
        <f t="shared" si="59"/>
        <v>0.88155641160083342</v>
      </c>
      <c r="BY53" s="6">
        <f t="shared" si="60"/>
        <v>88.155641160083348</v>
      </c>
      <c r="CB53" s="583">
        <f t="shared" si="105"/>
        <v>-50</v>
      </c>
      <c r="CC53">
        <f t="shared" si="106"/>
        <v>-50</v>
      </c>
    </row>
    <row r="54" spans="5:81" x14ac:dyDescent="0.2">
      <c r="E54" s="178">
        <v>49</v>
      </c>
      <c r="F54" s="225">
        <f t="shared" si="107"/>
        <v>0.14699999999999999</v>
      </c>
      <c r="G54" s="225"/>
      <c r="H54" s="225">
        <f t="shared" si="62"/>
        <v>2.2050000000000001</v>
      </c>
      <c r="I54" s="561">
        <f t="shared" si="63"/>
        <v>12</v>
      </c>
      <c r="J54" s="180">
        <f t="shared" si="64"/>
        <v>15.25</v>
      </c>
      <c r="K54" s="456">
        <f t="shared" si="65"/>
        <v>27.25</v>
      </c>
      <c r="L54" s="456"/>
      <c r="M54" s="225">
        <f t="shared" si="66"/>
        <v>0.55963302752293576</v>
      </c>
      <c r="N54" s="180">
        <f t="shared" si="5"/>
        <v>4.3819266055045869</v>
      </c>
      <c r="O54" s="180">
        <f t="shared" si="46"/>
        <v>2.2050000000000001</v>
      </c>
      <c r="P54" s="225">
        <f t="shared" si="67"/>
        <v>0.29212844036697244</v>
      </c>
      <c r="Q54" s="225">
        <f t="shared" si="68"/>
        <v>15</v>
      </c>
      <c r="R54" s="225">
        <f t="shared" si="69"/>
        <v>0.32458715596330273</v>
      </c>
      <c r="S54" s="180">
        <f t="shared" si="70"/>
        <v>41.337443281247403</v>
      </c>
      <c r="T54" s="180">
        <f t="shared" si="71"/>
        <v>15</v>
      </c>
      <c r="U54" s="225">
        <f t="shared" si="72"/>
        <v>0.72964480874316939</v>
      </c>
      <c r="V54" s="225">
        <f t="shared" si="73"/>
        <v>2.4321493624772317</v>
      </c>
      <c r="W54" s="225">
        <f t="shared" si="74"/>
        <v>1.9138224491624116</v>
      </c>
      <c r="X54" s="205">
        <f t="shared" si="75"/>
        <v>350</v>
      </c>
      <c r="Y54" s="456">
        <f t="shared" si="47"/>
        <v>230.09813301635779</v>
      </c>
      <c r="AA54" s="225">
        <f t="shared" si="76"/>
        <v>0.47968545216251629</v>
      </c>
      <c r="AB54" s="181">
        <f t="shared" si="77"/>
        <v>1.258191349934469</v>
      </c>
      <c r="AC54" s="181">
        <f t="shared" si="78"/>
        <v>0.10561881515504945</v>
      </c>
      <c r="AD54" s="181"/>
      <c r="AE54" s="181">
        <f t="shared" si="79"/>
        <v>0.76065573770491812</v>
      </c>
      <c r="AF54" s="565">
        <f t="shared" si="108"/>
        <v>1332.7883472057074</v>
      </c>
      <c r="AG54" s="548">
        <f t="shared" si="80"/>
        <v>3.8603278688524589E-2</v>
      </c>
      <c r="AI54" s="181">
        <f t="shared" si="81"/>
        <v>0.59651767227244268</v>
      </c>
      <c r="AJ54" s="181">
        <f t="shared" si="82"/>
        <v>0.72964480874316939</v>
      </c>
      <c r="AK54" s="181">
        <f t="shared" si="83"/>
        <v>1.5256628212912364</v>
      </c>
      <c r="AM54" s="565">
        <f t="shared" si="84"/>
        <v>147</v>
      </c>
      <c r="AN54" s="474">
        <f t="shared" si="85"/>
        <v>230.09813301635779</v>
      </c>
      <c r="AP54">
        <f t="shared" si="86"/>
        <v>147</v>
      </c>
      <c r="AQ54" s="474">
        <f t="shared" si="87"/>
        <v>230.09813301635779</v>
      </c>
      <c r="AR54" s="474"/>
      <c r="AS54" s="6">
        <f t="shared" si="48"/>
        <v>4.3459718116396431</v>
      </c>
      <c r="AT54" s="6">
        <f t="shared" si="88"/>
        <v>2.4321493624772317</v>
      </c>
      <c r="AU54" s="6">
        <f t="shared" si="49"/>
        <v>1.9138224491624114</v>
      </c>
      <c r="AV54" s="6">
        <f t="shared" si="89"/>
        <v>1.9138224491624116</v>
      </c>
      <c r="AW54" s="181">
        <f t="shared" si="50"/>
        <v>0.55963302752293587</v>
      </c>
      <c r="AX54" s="181">
        <f t="shared" si="90"/>
        <v>2.4500000000000002</v>
      </c>
      <c r="AY54" s="181">
        <f t="shared" si="91"/>
        <v>0.16065573770491801</v>
      </c>
      <c r="AZ54" s="181">
        <f t="shared" si="51"/>
        <v>15.250000000000004</v>
      </c>
      <c r="BA54" s="474">
        <f t="shared" si="92"/>
        <v>2.3835063752276868</v>
      </c>
      <c r="BB54" s="6">
        <f t="shared" si="93"/>
        <v>0.65123125006220939</v>
      </c>
      <c r="BC54" s="6"/>
      <c r="BD54" s="181">
        <f t="shared" si="52"/>
        <v>0.31513927973911304</v>
      </c>
      <c r="BE54" s="181">
        <f t="shared" si="94"/>
        <v>0.27954919067574696</v>
      </c>
      <c r="BF54" s="181"/>
      <c r="BG54" s="548">
        <f t="shared" si="95"/>
        <v>3.4759467972070426E-2</v>
      </c>
      <c r="BH54" s="548">
        <f t="shared" si="96"/>
        <v>4.5749999999999999E-2</v>
      </c>
      <c r="BI54" s="548">
        <f t="shared" si="97"/>
        <v>2.8762266627044724E-3</v>
      </c>
      <c r="BJ54" s="548">
        <f t="shared" si="98"/>
        <v>9.8245790816326537E-3</v>
      </c>
      <c r="BK54">
        <f t="shared" si="99"/>
        <v>3.48E-3</v>
      </c>
      <c r="BL54" s="474">
        <f t="shared" si="53"/>
        <v>96.690273716407546</v>
      </c>
      <c r="BM54" s="548">
        <f t="shared" si="100"/>
        <v>5.1449999999999996E-2</v>
      </c>
      <c r="BN54" s="548"/>
      <c r="BP54" s="474">
        <f t="shared" si="55"/>
        <v>51.449999999999996</v>
      </c>
      <c r="BQ54" s="548">
        <f t="shared" si="101"/>
        <v>0</v>
      </c>
      <c r="BR54" s="548">
        <f t="shared" si="102"/>
        <v>0</v>
      </c>
      <c r="BS54" s="548">
        <f t="shared" si="103"/>
        <v>1.826129127960607E-2</v>
      </c>
      <c r="BT54" s="548">
        <f t="shared" si="104"/>
        <v>0.12862500000000002</v>
      </c>
      <c r="BU54" s="474">
        <f t="shared" si="56"/>
        <v>146.8862912796061</v>
      </c>
      <c r="BV54" s="181">
        <f t="shared" si="57"/>
        <v>0.29502656499601365</v>
      </c>
      <c r="BW54" s="6">
        <f t="shared" si="58"/>
        <v>2.2050000000000001</v>
      </c>
      <c r="BX54" s="181">
        <f t="shared" si="59"/>
        <v>0.88199062796899363</v>
      </c>
      <c r="BY54" s="6">
        <f t="shared" si="60"/>
        <v>88.199062796899369</v>
      </c>
      <c r="CB54" s="583">
        <f t="shared" si="105"/>
        <v>-50</v>
      </c>
      <c r="CC54">
        <f t="shared" si="106"/>
        <v>-50</v>
      </c>
    </row>
    <row r="55" spans="5:81" x14ac:dyDescent="0.2">
      <c r="E55" s="178">
        <v>50</v>
      </c>
      <c r="F55" s="225">
        <f t="shared" si="107"/>
        <v>0.15</v>
      </c>
      <c r="G55" s="225"/>
      <c r="H55" s="225">
        <f t="shared" si="62"/>
        <v>2.25</v>
      </c>
      <c r="I55" s="561">
        <f t="shared" si="63"/>
        <v>12</v>
      </c>
      <c r="J55" s="180">
        <f t="shared" si="64"/>
        <v>15.25</v>
      </c>
      <c r="K55" s="456">
        <f t="shared" si="65"/>
        <v>27.25</v>
      </c>
      <c r="L55" s="456"/>
      <c r="M55" s="225">
        <f t="shared" si="66"/>
        <v>0.55963302752293576</v>
      </c>
      <c r="N55" s="180">
        <f t="shared" si="5"/>
        <v>4.3819266055045869</v>
      </c>
      <c r="O55" s="180">
        <f t="shared" si="46"/>
        <v>2.25</v>
      </c>
      <c r="P55" s="225">
        <f t="shared" si="67"/>
        <v>0.29212844036697244</v>
      </c>
      <c r="Q55" s="225">
        <f t="shared" si="68"/>
        <v>15</v>
      </c>
      <c r="R55" s="225">
        <f t="shared" si="69"/>
        <v>0.32458715596330273</v>
      </c>
      <c r="S55" s="180">
        <f t="shared" si="70"/>
        <v>40.274030149246045</v>
      </c>
      <c r="T55" s="180">
        <f t="shared" si="71"/>
        <v>15</v>
      </c>
      <c r="U55" s="225">
        <f t="shared" si="72"/>
        <v>0.74453551912568305</v>
      </c>
      <c r="V55" s="225">
        <f t="shared" si="73"/>
        <v>2.4817850637522767</v>
      </c>
      <c r="W55" s="225">
        <f t="shared" si="74"/>
        <v>1.952880050165726</v>
      </c>
      <c r="X55" s="205">
        <f t="shared" si="75"/>
        <v>350</v>
      </c>
      <c r="Y55" s="456">
        <f t="shared" si="47"/>
        <v>225.49617035603063</v>
      </c>
      <c r="AA55" s="225">
        <f t="shared" si="76"/>
        <v>0.47968545216251629</v>
      </c>
      <c r="AB55" s="181">
        <f t="shared" si="77"/>
        <v>1.258191349934469</v>
      </c>
      <c r="AC55" s="181">
        <f t="shared" si="78"/>
        <v>0.10561881515504945</v>
      </c>
      <c r="AD55" s="181"/>
      <c r="AE55" s="181">
        <f t="shared" si="79"/>
        <v>0.76065573770491812</v>
      </c>
      <c r="AF55" s="565">
        <f t="shared" si="108"/>
        <v>1359.988109393579</v>
      </c>
      <c r="AG55" s="548">
        <f t="shared" si="80"/>
        <v>3.8603278688524589E-2</v>
      </c>
      <c r="AI55" s="181">
        <f t="shared" si="81"/>
        <v>0.60257384451636975</v>
      </c>
      <c r="AJ55" s="181">
        <f t="shared" si="82"/>
        <v>0.74453551912568305</v>
      </c>
      <c r="AK55" s="181">
        <f t="shared" si="83"/>
        <v>1.5366929771301356</v>
      </c>
      <c r="AM55" s="565">
        <f t="shared" si="84"/>
        <v>150</v>
      </c>
      <c r="AN55" s="474">
        <f t="shared" si="85"/>
        <v>225.49617035603063</v>
      </c>
      <c r="AP55">
        <f t="shared" si="86"/>
        <v>150</v>
      </c>
      <c r="AQ55" s="474">
        <f t="shared" si="87"/>
        <v>225.49617035603063</v>
      </c>
      <c r="AR55" s="474"/>
      <c r="AS55" s="6">
        <f t="shared" si="48"/>
        <v>4.4346651139180038</v>
      </c>
      <c r="AT55" s="6">
        <f t="shared" si="88"/>
        <v>2.4817850637522767</v>
      </c>
      <c r="AU55" s="6">
        <f t="shared" si="49"/>
        <v>1.9528800501657271</v>
      </c>
      <c r="AV55" s="6">
        <f t="shared" si="89"/>
        <v>1.952880050165726</v>
      </c>
      <c r="AW55" s="181">
        <f t="shared" si="50"/>
        <v>0.55963302752293564</v>
      </c>
      <c r="AX55" s="181">
        <f t="shared" si="90"/>
        <v>2.5000000000000004</v>
      </c>
      <c r="AY55" s="181">
        <f t="shared" si="91"/>
        <v>0.16393442622950824</v>
      </c>
      <c r="AZ55" s="181">
        <f t="shared" si="51"/>
        <v>15.249999999999998</v>
      </c>
      <c r="BA55" s="474">
        <f t="shared" si="92"/>
        <v>2.4817850637522763</v>
      </c>
      <c r="BB55" s="6">
        <f t="shared" si="93"/>
        <v>0.67808335075198856</v>
      </c>
      <c r="BC55" s="6"/>
      <c r="BD55" s="181">
        <f t="shared" si="52"/>
        <v>0.32157069361133978</v>
      </c>
      <c r="BE55" s="181">
        <f t="shared" si="94"/>
        <v>0.28525427619974186</v>
      </c>
      <c r="BF55" s="181"/>
      <c r="BG55" s="548">
        <f t="shared" si="95"/>
        <v>3.6192698846387351E-2</v>
      </c>
      <c r="BH55" s="548">
        <f t="shared" si="96"/>
        <v>4.5749999999999992E-2</v>
      </c>
      <c r="BI55" s="548">
        <f t="shared" si="97"/>
        <v>2.8187021294503829E-3</v>
      </c>
      <c r="BJ55" s="548">
        <f t="shared" si="98"/>
        <v>9.6280875000000002E-3</v>
      </c>
      <c r="BK55">
        <f t="shared" si="99"/>
        <v>3.48E-3</v>
      </c>
      <c r="BL55" s="474">
        <f t="shared" si="53"/>
        <v>97.869488475837727</v>
      </c>
      <c r="BM55" s="548">
        <f t="shared" si="100"/>
        <v>5.2499999999999998E-2</v>
      </c>
      <c r="BN55" s="548"/>
      <c r="BP55" s="474">
        <f t="shared" si="55"/>
        <v>52.5</v>
      </c>
      <c r="BQ55" s="548">
        <f t="shared" si="101"/>
        <v>0</v>
      </c>
      <c r="BR55" s="548">
        <f t="shared" si="102"/>
        <v>0</v>
      </c>
      <c r="BS55" s="548">
        <f t="shared" si="103"/>
        <v>1.8261291279606066E-2</v>
      </c>
      <c r="BT55" s="548">
        <f t="shared" si="104"/>
        <v>0.13125000000000001</v>
      </c>
      <c r="BU55" s="474">
        <f t="shared" si="56"/>
        <v>149.51129127960607</v>
      </c>
      <c r="BV55" s="181">
        <f t="shared" si="57"/>
        <v>0.2998807797554438</v>
      </c>
      <c r="BW55" s="6">
        <f t="shared" si="58"/>
        <v>2.25</v>
      </c>
      <c r="BX55" s="181">
        <f t="shared" si="59"/>
        <v>0.88239419578502609</v>
      </c>
      <c r="BY55" s="6">
        <f t="shared" si="60"/>
        <v>88.239419578502606</v>
      </c>
      <c r="CB55" s="583">
        <f t="shared" si="105"/>
        <v>-50</v>
      </c>
      <c r="CC55">
        <f t="shared" si="106"/>
        <v>-50</v>
      </c>
    </row>
    <row r="56" spans="5:81" x14ac:dyDescent="0.2">
      <c r="E56" s="178">
        <v>51</v>
      </c>
      <c r="F56" s="225">
        <f t="shared" si="107"/>
        <v>0.153</v>
      </c>
      <c r="G56" s="225"/>
      <c r="H56" s="225">
        <f t="shared" si="62"/>
        <v>2.2949999999999999</v>
      </c>
      <c r="I56" s="561">
        <f t="shared" si="63"/>
        <v>12</v>
      </c>
      <c r="J56" s="180">
        <f t="shared" si="64"/>
        <v>15.25</v>
      </c>
      <c r="K56" s="456">
        <f t="shared" si="65"/>
        <v>27.25</v>
      </c>
      <c r="L56" s="456"/>
      <c r="M56" s="225">
        <f t="shared" si="66"/>
        <v>0.55963302752293576</v>
      </c>
      <c r="N56" s="180">
        <f t="shared" si="5"/>
        <v>4.3819266055045869</v>
      </c>
      <c r="O56" s="180">
        <f t="shared" si="46"/>
        <v>2.2949999999999999</v>
      </c>
      <c r="P56" s="225">
        <f t="shared" si="67"/>
        <v>0.29212844036697244</v>
      </c>
      <c r="Q56" s="225">
        <f t="shared" si="68"/>
        <v>15</v>
      </c>
      <c r="R56" s="225">
        <f t="shared" si="69"/>
        <v>0.32458715596330273</v>
      </c>
      <c r="S56" s="180">
        <f t="shared" si="70"/>
        <v>39.252415311522249</v>
      </c>
      <c r="T56" s="180">
        <f t="shared" si="71"/>
        <v>15</v>
      </c>
      <c r="U56" s="225">
        <f t="shared" si="72"/>
        <v>0.7594262295081966</v>
      </c>
      <c r="V56" s="225">
        <f t="shared" si="73"/>
        <v>2.5314207650273222</v>
      </c>
      <c r="W56" s="225">
        <f t="shared" si="74"/>
        <v>1.9919376511690405</v>
      </c>
      <c r="X56" s="205">
        <f t="shared" si="75"/>
        <v>350</v>
      </c>
      <c r="Y56" s="456">
        <f t="shared" si="47"/>
        <v>221.07467681963789</v>
      </c>
      <c r="AA56" s="225">
        <f t="shared" si="76"/>
        <v>0.47968545216251629</v>
      </c>
      <c r="AB56" s="181">
        <f t="shared" si="77"/>
        <v>1.258191349934469</v>
      </c>
      <c r="AC56" s="181">
        <f t="shared" si="78"/>
        <v>0.10561881515504945</v>
      </c>
      <c r="AD56" s="181"/>
      <c r="AE56" s="181">
        <f t="shared" si="79"/>
        <v>0.76065573770491812</v>
      </c>
      <c r="AF56" s="565">
        <f t="shared" si="108"/>
        <v>1387.1878715814505</v>
      </c>
      <c r="AG56" s="548">
        <f t="shared" si="80"/>
        <v>3.8603278688524589E-2</v>
      </c>
      <c r="AI56" s="181">
        <f t="shared" si="81"/>
        <v>0.60856975184208983</v>
      </c>
      <c r="AJ56" s="181">
        <f t="shared" si="82"/>
        <v>0.7594262295081966</v>
      </c>
      <c r="AK56" s="181">
        <f t="shared" si="83"/>
        <v>1.5477231329690344</v>
      </c>
      <c r="AM56" s="565">
        <f t="shared" si="84"/>
        <v>153</v>
      </c>
      <c r="AN56" s="474">
        <f t="shared" si="85"/>
        <v>221.07467681963789</v>
      </c>
      <c r="AP56">
        <f t="shared" si="86"/>
        <v>153</v>
      </c>
      <c r="AQ56" s="474">
        <f t="shared" si="87"/>
        <v>221.07467681963789</v>
      </c>
      <c r="AR56" s="474"/>
      <c r="AS56" s="6">
        <f t="shared" si="48"/>
        <v>4.5233584161963627</v>
      </c>
      <c r="AT56" s="6">
        <f t="shared" si="88"/>
        <v>2.5314207650273222</v>
      </c>
      <c r="AU56" s="6">
        <f t="shared" si="49"/>
        <v>1.9919376511690405</v>
      </c>
      <c r="AV56" s="6">
        <f t="shared" si="89"/>
        <v>1.9919376511690405</v>
      </c>
      <c r="AW56" s="181">
        <f t="shared" si="50"/>
        <v>0.55963302752293576</v>
      </c>
      <c r="AX56" s="181">
        <f t="shared" si="90"/>
        <v>2.5499999999999994</v>
      </c>
      <c r="AY56" s="181">
        <f t="shared" si="91"/>
        <v>0.16721311475409834</v>
      </c>
      <c r="AZ56" s="181">
        <f t="shared" si="51"/>
        <v>15.249999999999998</v>
      </c>
      <c r="BA56" s="474">
        <f t="shared" si="92"/>
        <v>2.5820491803278682</v>
      </c>
      <c r="BB56" s="6">
        <f t="shared" si="93"/>
        <v>0.70547791812236837</v>
      </c>
      <c r="BC56" s="6"/>
      <c r="BD56" s="181">
        <f t="shared" si="52"/>
        <v>0.32800210748356656</v>
      </c>
      <c r="BE56" s="181">
        <f t="shared" si="94"/>
        <v>0.2909593617237366</v>
      </c>
      <c r="BF56" s="181"/>
      <c r="BG56" s="548">
        <f t="shared" si="95"/>
        <v>3.7654883879781401E-2</v>
      </c>
      <c r="BH56" s="548">
        <f t="shared" si="96"/>
        <v>4.5749999999999999E-2</v>
      </c>
      <c r="BI56" s="548">
        <f t="shared" si="97"/>
        <v>2.7634334602454733E-3</v>
      </c>
      <c r="BJ56" s="548">
        <f t="shared" si="98"/>
        <v>9.4393014705882339E-3</v>
      </c>
      <c r="BK56">
        <f t="shared" si="99"/>
        <v>3.48E-3</v>
      </c>
      <c r="BL56" s="474">
        <f t="shared" si="53"/>
        <v>99.087618810615112</v>
      </c>
      <c r="BM56" s="548">
        <f t="shared" si="100"/>
        <v>5.3549999999999993E-2</v>
      </c>
      <c r="BN56" s="548"/>
      <c r="BP56" s="474">
        <f t="shared" si="55"/>
        <v>53.54999999999999</v>
      </c>
      <c r="BQ56" s="548">
        <f t="shared" si="101"/>
        <v>0</v>
      </c>
      <c r="BR56" s="548">
        <f t="shared" si="102"/>
        <v>0</v>
      </c>
      <c r="BS56" s="548">
        <f t="shared" si="103"/>
        <v>1.8261291279606056E-2</v>
      </c>
      <c r="BT56" s="548">
        <f t="shared" si="104"/>
        <v>0.13387499999999997</v>
      </c>
      <c r="BU56" s="474">
        <f t="shared" si="56"/>
        <v>152.13629127960601</v>
      </c>
      <c r="BV56" s="181">
        <f t="shared" si="57"/>
        <v>0.30477391009022115</v>
      </c>
      <c r="BW56" s="6">
        <f t="shared" si="58"/>
        <v>2.2949999999999999</v>
      </c>
      <c r="BX56" s="181">
        <f t="shared" si="59"/>
        <v>0.88276907122294945</v>
      </c>
      <c r="BY56" s="6">
        <f t="shared" si="60"/>
        <v>88.276907122294944</v>
      </c>
      <c r="CB56" s="583">
        <f t="shared" si="105"/>
        <v>-50</v>
      </c>
      <c r="CC56">
        <f t="shared" si="106"/>
        <v>-50</v>
      </c>
    </row>
    <row r="57" spans="5:81" x14ac:dyDescent="0.2">
      <c r="E57" s="178">
        <v>52</v>
      </c>
      <c r="F57" s="225">
        <f t="shared" si="107"/>
        <v>0.156</v>
      </c>
      <c r="G57" s="225"/>
      <c r="H57" s="225">
        <f t="shared" si="62"/>
        <v>2.34</v>
      </c>
      <c r="I57" s="561">
        <f t="shared" si="63"/>
        <v>12</v>
      </c>
      <c r="J57" s="180">
        <f t="shared" si="64"/>
        <v>15.25</v>
      </c>
      <c r="K57" s="456">
        <f t="shared" si="65"/>
        <v>27.25</v>
      </c>
      <c r="L57" s="456"/>
      <c r="M57" s="225">
        <f t="shared" si="66"/>
        <v>0.55963302752293576</v>
      </c>
      <c r="N57" s="180">
        <f t="shared" si="5"/>
        <v>4.3819266055045869</v>
      </c>
      <c r="O57" s="180">
        <f t="shared" si="46"/>
        <v>2.34</v>
      </c>
      <c r="P57" s="225">
        <f t="shared" si="67"/>
        <v>0.29212844036697244</v>
      </c>
      <c r="Q57" s="225">
        <f t="shared" si="68"/>
        <v>15</v>
      </c>
      <c r="R57" s="225">
        <f t="shared" si="69"/>
        <v>0.32458715596330273</v>
      </c>
      <c r="S57" s="180">
        <f t="shared" si="70"/>
        <v>38.270188930258826</v>
      </c>
      <c r="T57" s="180">
        <f t="shared" si="71"/>
        <v>15</v>
      </c>
      <c r="U57" s="225">
        <f t="shared" si="72"/>
        <v>0.77431693989071027</v>
      </c>
      <c r="V57" s="225">
        <f t="shared" si="73"/>
        <v>2.5810564663023676</v>
      </c>
      <c r="W57" s="225">
        <f t="shared" si="74"/>
        <v>2.0309952521723549</v>
      </c>
      <c r="X57" s="205">
        <f t="shared" si="75"/>
        <v>350</v>
      </c>
      <c r="Y57" s="456">
        <f t="shared" si="47"/>
        <v>216.82324072695255</v>
      </c>
      <c r="AA57" s="225">
        <f t="shared" si="76"/>
        <v>0.47968545216251629</v>
      </c>
      <c r="AB57" s="181">
        <f t="shared" si="77"/>
        <v>1.258191349934469</v>
      </c>
      <c r="AC57" s="181">
        <f t="shared" si="78"/>
        <v>0.10561881515504945</v>
      </c>
      <c r="AD57" s="181"/>
      <c r="AE57" s="181">
        <f t="shared" si="79"/>
        <v>0.76065573770491812</v>
      </c>
      <c r="AF57" s="565">
        <f t="shared" si="108"/>
        <v>1414.3876337693223</v>
      </c>
      <c r="AG57" s="548">
        <f t="shared" si="80"/>
        <v>3.8603278688524589E-2</v>
      </c>
      <c r="AI57" s="181">
        <f t="shared" si="81"/>
        <v>0.61450715831391878</v>
      </c>
      <c r="AJ57" s="181">
        <f t="shared" si="82"/>
        <v>0.77431693989071027</v>
      </c>
      <c r="AK57" s="181">
        <f t="shared" si="83"/>
        <v>1.5587532888079334</v>
      </c>
      <c r="AM57" s="565">
        <f t="shared" si="84"/>
        <v>156</v>
      </c>
      <c r="AN57" s="474">
        <f t="shared" si="85"/>
        <v>216.82324072695255</v>
      </c>
      <c r="AP57">
        <f t="shared" si="86"/>
        <v>156</v>
      </c>
      <c r="AQ57" s="474">
        <f t="shared" si="87"/>
        <v>216.82324072695255</v>
      </c>
      <c r="AR57" s="474"/>
      <c r="AS57" s="6">
        <f t="shared" si="48"/>
        <v>4.6120517184747234</v>
      </c>
      <c r="AT57" s="6">
        <f t="shared" si="88"/>
        <v>2.5810564663023676</v>
      </c>
      <c r="AU57" s="6">
        <f t="shared" si="49"/>
        <v>2.0309952521723558</v>
      </c>
      <c r="AV57" s="6">
        <f t="shared" si="89"/>
        <v>2.0309952521723549</v>
      </c>
      <c r="AW57" s="181">
        <f t="shared" si="50"/>
        <v>0.55963302752293564</v>
      </c>
      <c r="AX57" s="181">
        <f t="shared" si="90"/>
        <v>2.5999999999999996</v>
      </c>
      <c r="AY57" s="181">
        <f t="shared" si="91"/>
        <v>0.17049180327868854</v>
      </c>
      <c r="AZ57" s="181">
        <f t="shared" si="51"/>
        <v>15.249999999999996</v>
      </c>
      <c r="BA57" s="474">
        <f t="shared" si="92"/>
        <v>2.6842987249544623</v>
      </c>
      <c r="BB57" s="6">
        <f t="shared" si="93"/>
        <v>0.73341495217335051</v>
      </c>
      <c r="BC57" s="6"/>
      <c r="BD57" s="181">
        <f t="shared" si="52"/>
        <v>0.33443352135579335</v>
      </c>
      <c r="BE57" s="181">
        <f t="shared" si="94"/>
        <v>0.2966644472477315</v>
      </c>
      <c r="BF57" s="181"/>
      <c r="BG57" s="548">
        <f t="shared" si="95"/>
        <v>3.914602307225256E-2</v>
      </c>
      <c r="BH57" s="548">
        <f t="shared" si="96"/>
        <v>4.5749999999999999E-2</v>
      </c>
      <c r="BI57" s="548">
        <f t="shared" si="97"/>
        <v>2.7102905090869069E-3</v>
      </c>
      <c r="BJ57" s="548">
        <f t="shared" si="98"/>
        <v>9.2577764423076928E-3</v>
      </c>
      <c r="BK57">
        <f t="shared" si="99"/>
        <v>3.48E-3</v>
      </c>
      <c r="BL57" s="474">
        <f t="shared" si="53"/>
        <v>100.34409002364715</v>
      </c>
      <c r="BM57" s="548">
        <f t="shared" si="100"/>
        <v>5.4599999999999996E-2</v>
      </c>
      <c r="BN57" s="548"/>
      <c r="BP57" s="474">
        <f t="shared" si="55"/>
        <v>54.599999999999994</v>
      </c>
      <c r="BQ57" s="548">
        <f t="shared" si="101"/>
        <v>0</v>
      </c>
      <c r="BR57" s="548">
        <f t="shared" si="102"/>
        <v>0</v>
      </c>
      <c r="BS57" s="548">
        <f t="shared" si="103"/>
        <v>1.8261291279606021E-2</v>
      </c>
      <c r="BT57" s="548">
        <f t="shared" si="104"/>
        <v>0.13649999999999998</v>
      </c>
      <c r="BU57" s="474">
        <f t="shared" si="56"/>
        <v>154.76129127960601</v>
      </c>
      <c r="BV57" s="181">
        <f t="shared" si="57"/>
        <v>0.30970538130325315</v>
      </c>
      <c r="BW57" s="6">
        <f t="shared" si="58"/>
        <v>2.34</v>
      </c>
      <c r="BX57" s="181">
        <f t="shared" si="59"/>
        <v>0.88311705011108632</v>
      </c>
      <c r="BY57" s="6">
        <f t="shared" si="60"/>
        <v>88.311705011108629</v>
      </c>
      <c r="CB57" s="583">
        <f t="shared" si="105"/>
        <v>-50</v>
      </c>
      <c r="CC57">
        <f t="shared" si="106"/>
        <v>-50</v>
      </c>
    </row>
    <row r="58" spans="5:81" x14ac:dyDescent="0.2">
      <c r="E58" s="178">
        <v>53</v>
      </c>
      <c r="F58" s="225">
        <f t="shared" si="107"/>
        <v>0.159</v>
      </c>
      <c r="G58" s="225"/>
      <c r="H58" s="225">
        <f t="shared" si="62"/>
        <v>2.3850000000000002</v>
      </c>
      <c r="I58" s="561">
        <f t="shared" si="63"/>
        <v>12</v>
      </c>
      <c r="J58" s="180">
        <f t="shared" si="64"/>
        <v>15.25</v>
      </c>
      <c r="K58" s="456">
        <f t="shared" si="65"/>
        <v>27.25</v>
      </c>
      <c r="L58" s="456"/>
      <c r="M58" s="225">
        <f t="shared" si="66"/>
        <v>0.55963302752293576</v>
      </c>
      <c r="N58" s="180">
        <f t="shared" si="5"/>
        <v>4.3819266055045869</v>
      </c>
      <c r="O58" s="180">
        <f t="shared" si="46"/>
        <v>2.3850000000000002</v>
      </c>
      <c r="P58" s="225">
        <f t="shared" si="67"/>
        <v>0.29212844036697244</v>
      </c>
      <c r="Q58" s="225">
        <f t="shared" si="68"/>
        <v>15</v>
      </c>
      <c r="R58" s="225">
        <f t="shared" si="69"/>
        <v>0.32458715596330273</v>
      </c>
      <c r="S58" s="180">
        <f t="shared" si="70"/>
        <v>37.32512307671351</v>
      </c>
      <c r="T58" s="180">
        <f t="shared" si="71"/>
        <v>15</v>
      </c>
      <c r="U58" s="225">
        <f t="shared" si="72"/>
        <v>0.78920765027322404</v>
      </c>
      <c r="V58" s="225">
        <f t="shared" si="73"/>
        <v>2.6306921675774135</v>
      </c>
      <c r="W58" s="225">
        <f t="shared" si="74"/>
        <v>2.0700528531756697</v>
      </c>
      <c r="X58" s="205">
        <f t="shared" si="75"/>
        <v>350</v>
      </c>
      <c r="Y58" s="456">
        <f t="shared" si="47"/>
        <v>212.73223618493455</v>
      </c>
      <c r="AA58" s="225">
        <f t="shared" si="76"/>
        <v>0.47968545216251629</v>
      </c>
      <c r="AB58" s="181">
        <f t="shared" si="77"/>
        <v>1.258191349934469</v>
      </c>
      <c r="AC58" s="181">
        <f t="shared" si="78"/>
        <v>0.10561881515504945</v>
      </c>
      <c r="AD58" s="181"/>
      <c r="AE58" s="181">
        <f t="shared" si="79"/>
        <v>0.76065573770491812</v>
      </c>
      <c r="AF58" s="565">
        <f t="shared" si="108"/>
        <v>1441.5873959571938</v>
      </c>
      <c r="AG58" s="548">
        <f t="shared" si="80"/>
        <v>3.8603278688524589E-2</v>
      </c>
      <c r="AI58" s="181">
        <f t="shared" si="81"/>
        <v>0.62038774357731508</v>
      </c>
      <c r="AJ58" s="181">
        <f t="shared" si="82"/>
        <v>0.78920765027322404</v>
      </c>
      <c r="AK58" s="181">
        <f t="shared" si="83"/>
        <v>1.5697834446468326</v>
      </c>
      <c r="AM58" s="565">
        <f t="shared" si="84"/>
        <v>159</v>
      </c>
      <c r="AN58" s="474">
        <f t="shared" si="85"/>
        <v>212.73223618493455</v>
      </c>
      <c r="AP58">
        <f t="shared" si="86"/>
        <v>159</v>
      </c>
      <c r="AQ58" s="474">
        <f t="shared" si="87"/>
        <v>212.73223618493455</v>
      </c>
      <c r="AR58" s="474"/>
      <c r="AS58" s="6">
        <f t="shared" si="48"/>
        <v>4.7007450207530832</v>
      </c>
      <c r="AT58" s="6">
        <f t="shared" si="88"/>
        <v>2.6306921675774135</v>
      </c>
      <c r="AU58" s="6">
        <f t="shared" si="49"/>
        <v>2.0700528531756697</v>
      </c>
      <c r="AV58" s="6">
        <f t="shared" si="89"/>
        <v>2.0700528531756697</v>
      </c>
      <c r="AW58" s="181">
        <f t="shared" si="50"/>
        <v>0.55963302752293576</v>
      </c>
      <c r="AX58" s="181">
        <f t="shared" si="90"/>
        <v>2.6499999999999995</v>
      </c>
      <c r="AY58" s="181">
        <f t="shared" si="91"/>
        <v>0.17377049180327869</v>
      </c>
      <c r="AZ58" s="181">
        <f t="shared" si="51"/>
        <v>15.249999999999996</v>
      </c>
      <c r="BA58" s="474">
        <f t="shared" si="92"/>
        <v>2.7885336976320585</v>
      </c>
      <c r="BB58" s="6">
        <f t="shared" si="93"/>
        <v>0.76189445290493385</v>
      </c>
      <c r="BC58" s="6"/>
      <c r="BD58" s="181">
        <f t="shared" si="52"/>
        <v>0.34086493522802019</v>
      </c>
      <c r="BE58" s="181">
        <f t="shared" si="94"/>
        <v>0.30236953277172629</v>
      </c>
      <c r="BF58" s="181"/>
      <c r="BG58" s="548">
        <f t="shared" si="95"/>
        <v>4.0666116423800837E-2</v>
      </c>
      <c r="BH58" s="548">
        <f t="shared" si="96"/>
        <v>4.5749999999999992E-2</v>
      </c>
      <c r="BI58" s="548">
        <f t="shared" si="97"/>
        <v>2.6591529523116819E-3</v>
      </c>
      <c r="BJ58" s="548">
        <f t="shared" si="98"/>
        <v>9.0831014150943388E-3</v>
      </c>
      <c r="BK58">
        <f t="shared" si="99"/>
        <v>3.48E-3</v>
      </c>
      <c r="BL58" s="474">
        <f t="shared" si="53"/>
        <v>101.63837079120685</v>
      </c>
      <c r="BM58" s="548">
        <f t="shared" si="100"/>
        <v>5.5649999999999998E-2</v>
      </c>
      <c r="BN58" s="548"/>
      <c r="BP58" s="474">
        <f t="shared" si="55"/>
        <v>55.65</v>
      </c>
      <c r="BQ58" s="548">
        <f t="shared" si="101"/>
        <v>0</v>
      </c>
      <c r="BR58" s="548">
        <f t="shared" si="102"/>
        <v>0</v>
      </c>
      <c r="BS58" s="548">
        <f t="shared" si="103"/>
        <v>1.8261291279606039E-2</v>
      </c>
      <c r="BT58" s="548">
        <f t="shared" si="104"/>
        <v>0.139125</v>
      </c>
      <c r="BU58" s="474">
        <f t="shared" si="56"/>
        <v>157.38629127960604</v>
      </c>
      <c r="BV58" s="181">
        <f t="shared" si="57"/>
        <v>0.3146746620708129</v>
      </c>
      <c r="BW58" s="6">
        <f t="shared" si="58"/>
        <v>2.3850000000000002</v>
      </c>
      <c r="BX58" s="181">
        <f t="shared" si="59"/>
        <v>0.8834397838777216</v>
      </c>
      <c r="BY58" s="6">
        <f t="shared" si="60"/>
        <v>88.343978387772154</v>
      </c>
      <c r="CB58" s="583">
        <f t="shared" si="105"/>
        <v>-50</v>
      </c>
      <c r="CC58">
        <f t="shared" si="106"/>
        <v>-50</v>
      </c>
    </row>
    <row r="59" spans="5:81" x14ac:dyDescent="0.2">
      <c r="E59" s="178">
        <v>54</v>
      </c>
      <c r="F59" s="225">
        <f t="shared" si="107"/>
        <v>0.16200000000000001</v>
      </c>
      <c r="G59" s="225"/>
      <c r="H59" s="225">
        <f t="shared" si="62"/>
        <v>2.4300000000000002</v>
      </c>
      <c r="I59" s="561">
        <f t="shared" si="63"/>
        <v>12</v>
      </c>
      <c r="J59" s="180">
        <f t="shared" si="64"/>
        <v>15.25</v>
      </c>
      <c r="K59" s="456">
        <f t="shared" si="65"/>
        <v>27.25</v>
      </c>
      <c r="L59" s="456"/>
      <c r="M59" s="225">
        <f t="shared" si="66"/>
        <v>0.55963302752293576</v>
      </c>
      <c r="N59" s="180">
        <f t="shared" si="5"/>
        <v>4.3819266055045869</v>
      </c>
      <c r="O59" s="180">
        <f t="shared" si="46"/>
        <v>2.4300000000000002</v>
      </c>
      <c r="P59" s="225">
        <f t="shared" si="67"/>
        <v>0.29212844036697244</v>
      </c>
      <c r="Q59" s="225">
        <f t="shared" si="68"/>
        <v>15</v>
      </c>
      <c r="R59" s="225">
        <f t="shared" si="69"/>
        <v>0.32458715596330273</v>
      </c>
      <c r="S59" s="180">
        <f t="shared" si="70"/>
        <v>36.415154888679503</v>
      </c>
      <c r="T59" s="180">
        <f t="shared" si="71"/>
        <v>15</v>
      </c>
      <c r="U59" s="225">
        <f t="shared" si="72"/>
        <v>0.8040983606557377</v>
      </c>
      <c r="V59" s="225">
        <f t="shared" si="73"/>
        <v>2.6803278688524594</v>
      </c>
      <c r="W59" s="225">
        <f t="shared" si="74"/>
        <v>2.1091104541789845</v>
      </c>
      <c r="X59" s="205">
        <f t="shared" si="75"/>
        <v>350</v>
      </c>
      <c r="Y59" s="456">
        <f t="shared" si="47"/>
        <v>208.79275032965796</v>
      </c>
      <c r="AA59" s="225">
        <f t="shared" si="76"/>
        <v>0.47968545216251629</v>
      </c>
      <c r="AB59" s="181">
        <f t="shared" si="77"/>
        <v>1.258191349934469</v>
      </c>
      <c r="AC59" s="181">
        <f t="shared" si="78"/>
        <v>0.10561881515504945</v>
      </c>
      <c r="AD59" s="181"/>
      <c r="AE59" s="181">
        <f t="shared" si="79"/>
        <v>0.76065573770491812</v>
      </c>
      <c r="AF59" s="565">
        <f t="shared" si="108"/>
        <v>1468.7871581450654</v>
      </c>
      <c r="AG59" s="548">
        <f t="shared" si="80"/>
        <v>3.8603278688524589E-2</v>
      </c>
      <c r="AI59" s="181">
        <f t="shared" si="81"/>
        <v>0.62621310840867672</v>
      </c>
      <c r="AJ59" s="181">
        <f t="shared" si="82"/>
        <v>0.8040983606557377</v>
      </c>
      <c r="AK59" s="181">
        <f t="shared" si="83"/>
        <v>1.5808136004857316</v>
      </c>
      <c r="AM59" s="565">
        <f t="shared" si="84"/>
        <v>162</v>
      </c>
      <c r="AN59" s="474">
        <f t="shared" si="85"/>
        <v>208.79275032965796</v>
      </c>
      <c r="AP59">
        <f t="shared" si="86"/>
        <v>162</v>
      </c>
      <c r="AQ59" s="474">
        <f t="shared" si="87"/>
        <v>208.79275032965796</v>
      </c>
      <c r="AR59" s="474"/>
      <c r="AS59" s="6">
        <f t="shared" si="48"/>
        <v>4.7894383230314439</v>
      </c>
      <c r="AT59" s="6">
        <f t="shared" si="88"/>
        <v>2.6803278688524594</v>
      </c>
      <c r="AU59" s="6">
        <f t="shared" si="49"/>
        <v>2.1091104541789845</v>
      </c>
      <c r="AV59" s="6">
        <f t="shared" si="89"/>
        <v>2.1091104541789845</v>
      </c>
      <c r="AW59" s="181">
        <f t="shared" si="50"/>
        <v>0.55963302752293576</v>
      </c>
      <c r="AX59" s="181">
        <f t="shared" si="90"/>
        <v>2.6999999999999997</v>
      </c>
      <c r="AY59" s="181">
        <f t="shared" si="91"/>
        <v>0.17704918032786887</v>
      </c>
      <c r="AZ59" s="181">
        <f t="shared" si="51"/>
        <v>15.249999999999996</v>
      </c>
      <c r="BA59" s="474">
        <f t="shared" si="92"/>
        <v>2.8947540983606563</v>
      </c>
      <c r="BB59" s="6">
        <f t="shared" si="93"/>
        <v>0.79091642031711906</v>
      </c>
      <c r="BC59" s="6"/>
      <c r="BD59" s="181">
        <f t="shared" si="52"/>
        <v>0.34729634910024698</v>
      </c>
      <c r="BE59" s="181">
        <f t="shared" si="94"/>
        <v>0.30807461829572114</v>
      </c>
      <c r="BF59" s="181"/>
      <c r="BG59" s="548">
        <f t="shared" si="95"/>
        <v>4.221516393442621E-2</v>
      </c>
      <c r="BH59" s="548">
        <f t="shared" si="96"/>
        <v>4.5749999999999992E-2</v>
      </c>
      <c r="BI59" s="548">
        <f t="shared" si="97"/>
        <v>2.6099093791207241E-3</v>
      </c>
      <c r="BJ59" s="548">
        <f t="shared" si="98"/>
        <v>8.9148958333333302E-3</v>
      </c>
      <c r="BK59">
        <f t="shared" si="99"/>
        <v>3.48E-3</v>
      </c>
      <c r="BL59" s="474">
        <f t="shared" si="53"/>
        <v>102.96996914688025</v>
      </c>
      <c r="BM59" s="548">
        <f t="shared" si="100"/>
        <v>5.67E-2</v>
      </c>
      <c r="BN59" s="548"/>
      <c r="BP59" s="474">
        <f t="shared" si="55"/>
        <v>56.7</v>
      </c>
      <c r="BQ59" s="548">
        <f t="shared" si="101"/>
        <v>0</v>
      </c>
      <c r="BR59" s="548">
        <f t="shared" si="102"/>
        <v>0</v>
      </c>
      <c r="BS59" s="548">
        <f t="shared" si="103"/>
        <v>1.8261291279606059E-2</v>
      </c>
      <c r="BT59" s="548">
        <f t="shared" si="104"/>
        <v>0.14174999999999999</v>
      </c>
      <c r="BU59" s="474">
        <f t="shared" si="56"/>
        <v>160.01129127960607</v>
      </c>
      <c r="BV59" s="181">
        <f t="shared" si="57"/>
        <v>0.31968126042648631</v>
      </c>
      <c r="BW59" s="6">
        <f t="shared" si="58"/>
        <v>2.4300000000000002</v>
      </c>
      <c r="BX59" s="181">
        <f t="shared" si="59"/>
        <v>0.88373879364588515</v>
      </c>
      <c r="BY59" s="6">
        <f t="shared" si="60"/>
        <v>88.373879364588518</v>
      </c>
      <c r="CB59" s="583">
        <f t="shared" si="105"/>
        <v>-50</v>
      </c>
      <c r="CC59">
        <f t="shared" si="106"/>
        <v>-50</v>
      </c>
    </row>
    <row r="60" spans="5:81" x14ac:dyDescent="0.2">
      <c r="E60" s="178">
        <v>55</v>
      </c>
      <c r="F60" s="225">
        <f t="shared" si="107"/>
        <v>0.16500000000000001</v>
      </c>
      <c r="G60" s="225"/>
      <c r="H60" s="225">
        <f t="shared" si="62"/>
        <v>2.4750000000000001</v>
      </c>
      <c r="I60" s="561">
        <f t="shared" si="63"/>
        <v>12</v>
      </c>
      <c r="J60" s="180">
        <f t="shared" si="64"/>
        <v>15.25</v>
      </c>
      <c r="K60" s="456">
        <f t="shared" si="65"/>
        <v>27.25</v>
      </c>
      <c r="L60" s="456"/>
      <c r="M60" s="225">
        <f t="shared" si="66"/>
        <v>0.55963302752293576</v>
      </c>
      <c r="N60" s="180">
        <f t="shared" si="5"/>
        <v>4.3819266055045869</v>
      </c>
      <c r="O60" s="180">
        <f t="shared" si="46"/>
        <v>2.4750000000000001</v>
      </c>
      <c r="P60" s="225">
        <f t="shared" si="67"/>
        <v>0.29212844036697244</v>
      </c>
      <c r="Q60" s="225">
        <f t="shared" si="68"/>
        <v>15</v>
      </c>
      <c r="R60" s="225">
        <f t="shared" si="69"/>
        <v>0.32458715596330273</v>
      </c>
      <c r="S60" s="180">
        <f t="shared" si="70"/>
        <v>35.538371565340206</v>
      </c>
      <c r="T60" s="180">
        <f t="shared" si="71"/>
        <v>15</v>
      </c>
      <c r="U60" s="225">
        <f t="shared" si="72"/>
        <v>0.81898907103825136</v>
      </c>
      <c r="V60" s="225">
        <f t="shared" si="73"/>
        <v>2.7299635701275049</v>
      </c>
      <c r="W60" s="225">
        <f t="shared" si="74"/>
        <v>2.1481680551822988</v>
      </c>
      <c r="X60" s="205">
        <f t="shared" si="75"/>
        <v>350</v>
      </c>
      <c r="Y60" s="456">
        <f t="shared" si="47"/>
        <v>204.99651850548236</v>
      </c>
      <c r="AA60" s="225">
        <f t="shared" si="76"/>
        <v>0.47968545216251629</v>
      </c>
      <c r="AB60" s="181">
        <f t="shared" si="77"/>
        <v>1.258191349934469</v>
      </c>
      <c r="AC60" s="181">
        <f t="shared" si="78"/>
        <v>0.10561881515504945</v>
      </c>
      <c r="AD60" s="181"/>
      <c r="AE60" s="181">
        <f t="shared" si="79"/>
        <v>0.76065573770491812</v>
      </c>
      <c r="AF60" s="565">
        <f t="shared" si="108"/>
        <v>1495.986920332937</v>
      </c>
      <c r="AG60" s="548">
        <f t="shared" si="80"/>
        <v>3.8603278688524589E-2</v>
      </c>
      <c r="AI60" s="181">
        <f t="shared" si="81"/>
        <v>0.63198477980467371</v>
      </c>
      <c r="AJ60" s="181">
        <f t="shared" si="82"/>
        <v>0.81898907103825136</v>
      </c>
      <c r="AK60" s="181">
        <f t="shared" si="83"/>
        <v>1.5918437563246306</v>
      </c>
      <c r="AM60" s="565">
        <f t="shared" si="84"/>
        <v>165</v>
      </c>
      <c r="AN60" s="474">
        <f t="shared" si="85"/>
        <v>204.99651850548236</v>
      </c>
      <c r="AP60">
        <f t="shared" si="86"/>
        <v>165</v>
      </c>
      <c r="AQ60">
        <f t="shared" si="87"/>
        <v>204.99651850548236</v>
      </c>
      <c r="AS60" s="6">
        <f t="shared" si="48"/>
        <v>4.8781316253098037</v>
      </c>
      <c r="AT60" s="6">
        <f t="shared" si="88"/>
        <v>2.7299635701275049</v>
      </c>
      <c r="AU60" s="6">
        <f t="shared" si="49"/>
        <v>2.1481680551822988</v>
      </c>
      <c r="AV60" s="6">
        <f t="shared" si="89"/>
        <v>2.1481680551822988</v>
      </c>
      <c r="AW60" s="181">
        <f t="shared" si="50"/>
        <v>0.55963302752293576</v>
      </c>
      <c r="AX60" s="181">
        <f t="shared" si="90"/>
        <v>2.75</v>
      </c>
      <c r="AY60" s="181">
        <f t="shared" si="91"/>
        <v>0.18032786885245902</v>
      </c>
      <c r="AZ60" s="181">
        <f t="shared" si="51"/>
        <v>15.25</v>
      </c>
      <c r="BA60" s="474">
        <f t="shared" si="92"/>
        <v>3.0029599271402554</v>
      </c>
      <c r="BB60" s="6">
        <f t="shared" si="93"/>
        <v>0.8204808544099057</v>
      </c>
      <c r="BC60" s="6"/>
      <c r="BD60" s="181">
        <f t="shared" si="52"/>
        <v>0.35372776297247382</v>
      </c>
      <c r="BE60" s="181">
        <f t="shared" si="94"/>
        <v>0.31377970381971598</v>
      </c>
      <c r="BF60" s="181"/>
      <c r="BG60" s="548">
        <f t="shared" si="95"/>
        <v>4.3793165604128721E-2</v>
      </c>
      <c r="BH60" s="548">
        <f t="shared" si="96"/>
        <v>4.5749999999999992E-2</v>
      </c>
      <c r="BI60" s="548">
        <f t="shared" si="97"/>
        <v>2.5624564813185292E-3</v>
      </c>
      <c r="BJ60" s="548">
        <f t="shared" si="98"/>
        <v>8.7528068181818158E-3</v>
      </c>
      <c r="BK60">
        <f t="shared" si="99"/>
        <v>3.48E-3</v>
      </c>
      <c r="BL60" s="474">
        <f t="shared" si="53"/>
        <v>104.33842890362905</v>
      </c>
      <c r="BM60" s="548">
        <f t="shared" si="100"/>
        <v>5.7749999999999996E-2</v>
      </c>
      <c r="BN60" s="548"/>
      <c r="BP60" s="474">
        <f t="shared" si="55"/>
        <v>57.749999999999993</v>
      </c>
      <c r="BQ60" s="548">
        <f t="shared" si="101"/>
        <v>0</v>
      </c>
      <c r="BR60" s="548">
        <f t="shared" si="102"/>
        <v>0</v>
      </c>
      <c r="BS60" s="548">
        <f t="shared" si="103"/>
        <v>1.8261291279606059E-2</v>
      </c>
      <c r="BT60" s="548">
        <f t="shared" si="104"/>
        <v>0.144375</v>
      </c>
      <c r="BU60" s="474">
        <f t="shared" si="56"/>
        <v>162.63629127960604</v>
      </c>
      <c r="BV60" s="181">
        <f t="shared" si="57"/>
        <v>0.32472472018323517</v>
      </c>
      <c r="BW60" s="6">
        <f t="shared" si="58"/>
        <v>2.4750000000000001</v>
      </c>
      <c r="BX60" s="181">
        <f t="shared" si="59"/>
        <v>0.88401548272146457</v>
      </c>
      <c r="BY60" s="6">
        <f t="shared" si="60"/>
        <v>88.401548272146456</v>
      </c>
      <c r="CB60" s="583">
        <f t="shared" si="105"/>
        <v>-50</v>
      </c>
      <c r="CC60">
        <f t="shared" si="106"/>
        <v>-50</v>
      </c>
    </row>
    <row r="61" spans="5:81" x14ac:dyDescent="0.2">
      <c r="E61" s="178">
        <v>56</v>
      </c>
      <c r="F61" s="225">
        <f t="shared" si="107"/>
        <v>0.16800000000000001</v>
      </c>
      <c r="G61" s="225"/>
      <c r="H61" s="225">
        <f t="shared" si="62"/>
        <v>2.52</v>
      </c>
      <c r="I61" s="561">
        <f t="shared" si="63"/>
        <v>12</v>
      </c>
      <c r="J61" s="180">
        <f t="shared" si="64"/>
        <v>15.25</v>
      </c>
      <c r="K61" s="456">
        <f t="shared" si="65"/>
        <v>27.25</v>
      </c>
      <c r="L61" s="456"/>
      <c r="M61" s="225">
        <f t="shared" si="66"/>
        <v>0.55963302752293576</v>
      </c>
      <c r="N61" s="180">
        <f t="shared" si="5"/>
        <v>4.3819266055045869</v>
      </c>
      <c r="O61" s="180">
        <f t="shared" si="46"/>
        <v>2.52</v>
      </c>
      <c r="P61" s="225">
        <f t="shared" si="67"/>
        <v>0.29212844036697244</v>
      </c>
      <c r="Q61" s="225">
        <f t="shared" si="68"/>
        <v>15</v>
      </c>
      <c r="R61" s="225">
        <f t="shared" si="69"/>
        <v>0.32458715596330273</v>
      </c>
      <c r="S61" s="180">
        <f t="shared" si="70"/>
        <v>34.692996969844998</v>
      </c>
      <c r="T61" s="180">
        <f t="shared" si="71"/>
        <v>15</v>
      </c>
      <c r="U61" s="225">
        <f t="shared" si="72"/>
        <v>0.83387978142076502</v>
      </c>
      <c r="V61" s="225">
        <f t="shared" si="73"/>
        <v>2.7795992714025504</v>
      </c>
      <c r="W61" s="225">
        <f t="shared" si="74"/>
        <v>2.1872256561856136</v>
      </c>
      <c r="X61" s="205">
        <f t="shared" si="75"/>
        <v>350</v>
      </c>
      <c r="Y61" s="456">
        <f t="shared" si="47"/>
        <v>201.33586638931305</v>
      </c>
      <c r="AA61" s="225">
        <f t="shared" si="76"/>
        <v>0.47968545216251629</v>
      </c>
      <c r="AB61" s="181">
        <f t="shared" si="77"/>
        <v>1.258191349934469</v>
      </c>
      <c r="AC61" s="181">
        <f t="shared" si="78"/>
        <v>0.10561881515504945</v>
      </c>
      <c r="AD61" s="181"/>
      <c r="AE61" s="181">
        <f t="shared" si="79"/>
        <v>0.76065573770491812</v>
      </c>
      <c r="AF61" s="565">
        <f t="shared" si="108"/>
        <v>1523.1866825208087</v>
      </c>
      <c r="AG61" s="548">
        <f t="shared" si="80"/>
        <v>3.8603278688524589E-2</v>
      </c>
      <c r="AI61" s="181">
        <f t="shared" si="81"/>
        <v>0.63770421565696633</v>
      </c>
      <c r="AJ61" s="181">
        <f t="shared" si="82"/>
        <v>0.83387978142076502</v>
      </c>
      <c r="AK61" s="181">
        <f t="shared" si="83"/>
        <v>1.6028739121635296</v>
      </c>
      <c r="AM61" s="565">
        <f t="shared" si="84"/>
        <v>168</v>
      </c>
      <c r="AN61" s="474">
        <f t="shared" si="85"/>
        <v>201.33586638931305</v>
      </c>
      <c r="AP61">
        <f t="shared" si="86"/>
        <v>168</v>
      </c>
      <c r="AQ61">
        <f t="shared" si="87"/>
        <v>201.33586638931305</v>
      </c>
      <c r="AS61" s="6">
        <f t="shared" si="48"/>
        <v>4.9668249275881635</v>
      </c>
      <c r="AT61" s="6">
        <f t="shared" si="88"/>
        <v>2.7795992714025504</v>
      </c>
      <c r="AU61" s="6">
        <f t="shared" si="49"/>
        <v>2.1872256561856132</v>
      </c>
      <c r="AV61" s="6">
        <f t="shared" si="89"/>
        <v>2.1872256561856136</v>
      </c>
      <c r="AW61" s="181">
        <f t="shared" si="50"/>
        <v>0.55963302752293576</v>
      </c>
      <c r="AX61" s="181">
        <f t="shared" si="90"/>
        <v>2.8</v>
      </c>
      <c r="AY61" s="181">
        <f t="shared" si="91"/>
        <v>0.1836065573770492</v>
      </c>
      <c r="AZ61" s="181">
        <f t="shared" si="51"/>
        <v>15.249999999999996</v>
      </c>
      <c r="BA61" s="474">
        <f t="shared" si="92"/>
        <v>3.1131511839708566</v>
      </c>
      <c r="BB61" s="6">
        <f t="shared" si="93"/>
        <v>0.85058775518329377</v>
      </c>
      <c r="BC61" s="6"/>
      <c r="BD61" s="181">
        <f t="shared" si="52"/>
        <v>0.36015917684470061</v>
      </c>
      <c r="BE61" s="181">
        <f t="shared" si="94"/>
        <v>0.31948478934371083</v>
      </c>
      <c r="BF61" s="181"/>
      <c r="BG61" s="548">
        <f t="shared" si="95"/>
        <v>4.5400121432908315E-2</v>
      </c>
      <c r="BH61" s="548">
        <f t="shared" si="96"/>
        <v>4.5749999999999992E-2</v>
      </c>
      <c r="BI61" s="548">
        <f t="shared" si="97"/>
        <v>2.5166983298664132E-3</v>
      </c>
      <c r="BJ61" s="548">
        <f t="shared" si="98"/>
        <v>8.5965066964285713E-3</v>
      </c>
      <c r="BK61">
        <f t="shared" si="99"/>
        <v>3.48E-3</v>
      </c>
      <c r="BL61" s="474">
        <f t="shared" si="53"/>
        <v>105.74332645920329</v>
      </c>
      <c r="BM61" s="548">
        <f t="shared" si="100"/>
        <v>5.8799999999999998E-2</v>
      </c>
      <c r="BN61" s="548"/>
      <c r="BP61" s="474">
        <f t="shared" si="55"/>
        <v>58.8</v>
      </c>
      <c r="BQ61" s="548">
        <f t="shared" si="101"/>
        <v>0</v>
      </c>
      <c r="BR61" s="548">
        <f t="shared" si="102"/>
        <v>0</v>
      </c>
      <c r="BS61" s="548">
        <f t="shared" si="103"/>
        <v>1.8261291279606059E-2</v>
      </c>
      <c r="BT61" s="548">
        <f t="shared" si="104"/>
        <v>0.14699999999999999</v>
      </c>
      <c r="BU61" s="474">
        <f t="shared" si="56"/>
        <v>165.26129127960604</v>
      </c>
      <c r="BV61" s="181">
        <f t="shared" si="57"/>
        <v>0.32980461773880931</v>
      </c>
      <c r="BW61" s="6">
        <f t="shared" si="58"/>
        <v>2.52</v>
      </c>
      <c r="BX61" s="181">
        <f t="shared" si="59"/>
        <v>0.88427114768292636</v>
      </c>
      <c r="BY61" s="6">
        <f t="shared" si="60"/>
        <v>88.42711476829264</v>
      </c>
      <c r="CB61" s="583">
        <f t="shared" si="105"/>
        <v>-50</v>
      </c>
      <c r="CC61">
        <f t="shared" si="106"/>
        <v>-50</v>
      </c>
    </row>
    <row r="62" spans="5:81" x14ac:dyDescent="0.2">
      <c r="E62" s="178">
        <v>57</v>
      </c>
      <c r="F62" s="225">
        <f t="shared" si="107"/>
        <v>0.17099999999999999</v>
      </c>
      <c r="G62" s="225"/>
      <c r="H62" s="225">
        <f t="shared" si="62"/>
        <v>2.5649999999999999</v>
      </c>
      <c r="I62" s="561">
        <f t="shared" si="63"/>
        <v>12</v>
      </c>
      <c r="J62" s="180">
        <f t="shared" si="64"/>
        <v>15.25</v>
      </c>
      <c r="K62" s="456">
        <f t="shared" si="65"/>
        <v>27.25</v>
      </c>
      <c r="L62" s="456"/>
      <c r="M62" s="225">
        <f t="shared" si="66"/>
        <v>0.55963302752293576</v>
      </c>
      <c r="N62" s="180">
        <f t="shared" si="5"/>
        <v>4.3819266055045869</v>
      </c>
      <c r="O62" s="180">
        <f t="shared" si="46"/>
        <v>2.5649999999999999</v>
      </c>
      <c r="P62" s="225">
        <f t="shared" si="67"/>
        <v>0.29212844036697244</v>
      </c>
      <c r="Q62" s="225">
        <f t="shared" si="68"/>
        <v>15</v>
      </c>
      <c r="R62" s="225">
        <f t="shared" si="69"/>
        <v>0.32458715596330273</v>
      </c>
      <c r="S62" s="180">
        <f t="shared" si="70"/>
        <v>33.87737964216732</v>
      </c>
      <c r="T62" s="180">
        <f t="shared" si="71"/>
        <v>15</v>
      </c>
      <c r="U62" s="225">
        <f t="shared" si="72"/>
        <v>0.84877049180327857</v>
      </c>
      <c r="V62" s="225">
        <f t="shared" si="73"/>
        <v>2.8292349726775958</v>
      </c>
      <c r="W62" s="225">
        <f t="shared" si="74"/>
        <v>2.2262832571889275</v>
      </c>
      <c r="X62" s="205">
        <f t="shared" si="75"/>
        <v>350</v>
      </c>
      <c r="Y62" s="456">
        <f t="shared" si="47"/>
        <v>197.80365820704444</v>
      </c>
      <c r="AA62" s="225">
        <f t="shared" si="76"/>
        <v>0.47968545216251629</v>
      </c>
      <c r="AB62" s="181">
        <f t="shared" si="77"/>
        <v>1.258191349934469</v>
      </c>
      <c r="AC62" s="181">
        <f t="shared" si="78"/>
        <v>0.10561881515504945</v>
      </c>
      <c r="AD62" s="181"/>
      <c r="AE62" s="181">
        <f t="shared" si="79"/>
        <v>0.76065573770491812</v>
      </c>
      <c r="AF62" s="565">
        <f t="shared" si="108"/>
        <v>1550.3864447086801</v>
      </c>
      <c r="AG62" s="548">
        <f t="shared" si="80"/>
        <v>3.8603278688524589E-2</v>
      </c>
      <c r="AI62" s="181">
        <f t="shared" si="81"/>
        <v>0.64337280905286276</v>
      </c>
      <c r="AJ62" s="181">
        <f t="shared" si="82"/>
        <v>0.84877049180327857</v>
      </c>
      <c r="AK62" s="181">
        <f t="shared" si="83"/>
        <v>1.6139040680024286</v>
      </c>
      <c r="AM62" s="565">
        <f t="shared" si="84"/>
        <v>170.99999999999997</v>
      </c>
      <c r="AN62" s="474">
        <f t="shared" si="85"/>
        <v>197.80365820704444</v>
      </c>
      <c r="AP62">
        <f t="shared" si="86"/>
        <v>170.99999999999997</v>
      </c>
      <c r="AQ62">
        <f t="shared" si="87"/>
        <v>197.80365820704444</v>
      </c>
      <c r="AS62" s="6">
        <f t="shared" si="48"/>
        <v>5.0555182298665224</v>
      </c>
      <c r="AT62" s="6">
        <f t="shared" si="88"/>
        <v>2.8292349726775958</v>
      </c>
      <c r="AU62" s="6">
        <f t="shared" si="49"/>
        <v>2.2262832571889266</v>
      </c>
      <c r="AV62" s="6">
        <f t="shared" si="89"/>
        <v>2.2262832571889275</v>
      </c>
      <c r="AW62" s="181">
        <f t="shared" si="50"/>
        <v>0.55963302752293587</v>
      </c>
      <c r="AX62" s="181">
        <f t="shared" si="90"/>
        <v>2.8499999999999996</v>
      </c>
      <c r="AY62" s="181">
        <f t="shared" si="91"/>
        <v>0.18688524590163927</v>
      </c>
      <c r="AZ62" s="181">
        <f t="shared" si="51"/>
        <v>15.250000000000004</v>
      </c>
      <c r="BA62" s="474">
        <f t="shared" si="92"/>
        <v>3.2253278688524589</v>
      </c>
      <c r="BB62" s="6">
        <f t="shared" si="93"/>
        <v>0.88123712263728338</v>
      </c>
      <c r="BC62" s="6"/>
      <c r="BD62" s="181">
        <f t="shared" si="52"/>
        <v>0.3665905907169274</v>
      </c>
      <c r="BE62" s="181">
        <f t="shared" si="94"/>
        <v>0.32518987486770562</v>
      </c>
      <c r="BF62" s="181"/>
      <c r="BG62" s="548">
        <f t="shared" si="95"/>
        <v>4.7036031420765026E-2</v>
      </c>
      <c r="BH62" s="548">
        <f t="shared" si="96"/>
        <v>4.5749999999999999E-2</v>
      </c>
      <c r="BI62" s="548">
        <f t="shared" si="97"/>
        <v>2.4725457275880554E-3</v>
      </c>
      <c r="BJ62" s="548">
        <f t="shared" si="98"/>
        <v>8.4456907894736848E-3</v>
      </c>
      <c r="BK62">
        <f t="shared" si="99"/>
        <v>3.48E-3</v>
      </c>
      <c r="BL62" s="474">
        <f t="shared" si="53"/>
        <v>107.18426793782676</v>
      </c>
      <c r="BM62" s="548">
        <f t="shared" si="100"/>
        <v>5.9849999999999993E-2</v>
      </c>
      <c r="BN62" s="548"/>
      <c r="BP62" s="474">
        <f t="shared" si="55"/>
        <v>59.849999999999994</v>
      </c>
      <c r="BQ62" s="548">
        <f t="shared" si="101"/>
        <v>0</v>
      </c>
      <c r="BR62" s="548">
        <f t="shared" si="102"/>
        <v>0</v>
      </c>
      <c r="BS62" s="548">
        <f t="shared" si="103"/>
        <v>1.8261291279606077E-2</v>
      </c>
      <c r="BT62" s="548">
        <f t="shared" si="104"/>
        <v>0.14962499999999998</v>
      </c>
      <c r="BU62" s="474">
        <f t="shared" si="56"/>
        <v>167.88629127960604</v>
      </c>
      <c r="BV62" s="181">
        <f t="shared" si="57"/>
        <v>0.3349205592174328</v>
      </c>
      <c r="BW62" s="6">
        <f t="shared" si="58"/>
        <v>2.5649999999999999</v>
      </c>
      <c r="BX62" s="181">
        <f t="shared" si="59"/>
        <v>0.88450698825080443</v>
      </c>
      <c r="BY62" s="6">
        <f t="shared" si="60"/>
        <v>88.450698825080437</v>
      </c>
      <c r="CB62" s="583">
        <f t="shared" si="105"/>
        <v>-50</v>
      </c>
      <c r="CC62">
        <f t="shared" si="106"/>
        <v>-50</v>
      </c>
    </row>
    <row r="63" spans="5:81" x14ac:dyDescent="0.2">
      <c r="E63" s="178">
        <v>58</v>
      </c>
      <c r="F63" s="225">
        <f t="shared" si="107"/>
        <v>0.17399999999999999</v>
      </c>
      <c r="G63" s="225"/>
      <c r="H63" s="225">
        <f t="shared" si="62"/>
        <v>2.61</v>
      </c>
      <c r="I63" s="561">
        <f t="shared" si="63"/>
        <v>12</v>
      </c>
      <c r="J63" s="180">
        <f t="shared" si="64"/>
        <v>15.25</v>
      </c>
      <c r="K63" s="456">
        <f t="shared" si="65"/>
        <v>27.25</v>
      </c>
      <c r="L63" s="456"/>
      <c r="M63" s="225">
        <f t="shared" si="66"/>
        <v>0.55963302752293576</v>
      </c>
      <c r="N63" s="180">
        <f t="shared" si="5"/>
        <v>4.3819266055045869</v>
      </c>
      <c r="O63" s="180">
        <f t="shared" si="46"/>
        <v>2.61</v>
      </c>
      <c r="P63" s="225">
        <f t="shared" si="67"/>
        <v>0.29212844036697244</v>
      </c>
      <c r="Q63" s="225">
        <f t="shared" si="68"/>
        <v>15</v>
      </c>
      <c r="R63" s="225">
        <f t="shared" si="69"/>
        <v>0.32458715596330273</v>
      </c>
      <c r="S63" s="180">
        <f t="shared" si="70"/>
        <v>33.089982052039431</v>
      </c>
      <c r="T63" s="180">
        <f t="shared" si="71"/>
        <v>15</v>
      </c>
      <c r="U63" s="225">
        <f t="shared" si="72"/>
        <v>0.86366120218579223</v>
      </c>
      <c r="V63" s="225">
        <f t="shared" si="73"/>
        <v>2.8788706739526408</v>
      </c>
      <c r="W63" s="225">
        <f t="shared" si="74"/>
        <v>2.2653408581922423</v>
      </c>
      <c r="X63" s="205">
        <f t="shared" si="75"/>
        <v>350</v>
      </c>
      <c r="Y63" s="456">
        <f t="shared" si="47"/>
        <v>194.39325030692297</v>
      </c>
      <c r="AA63" s="225">
        <f t="shared" si="76"/>
        <v>0.47968545216251629</v>
      </c>
      <c r="AB63" s="181">
        <f t="shared" si="77"/>
        <v>1.258191349934469</v>
      </c>
      <c r="AC63" s="181">
        <f t="shared" si="78"/>
        <v>0.10561881515504945</v>
      </c>
      <c r="AD63" s="181"/>
      <c r="AE63" s="181">
        <f t="shared" si="79"/>
        <v>0.76065573770491812</v>
      </c>
      <c r="AF63" s="565">
        <f t="shared" si="108"/>
        <v>1577.5862068965516</v>
      </c>
      <c r="AG63" s="548">
        <f t="shared" si="80"/>
        <v>3.8603278688524589E-2</v>
      </c>
      <c r="AI63" s="181">
        <f t="shared" si="81"/>
        <v>0.64899189223785847</v>
      </c>
      <c r="AJ63" s="181">
        <f t="shared" si="82"/>
        <v>0.86366120218579223</v>
      </c>
      <c r="AK63" s="181">
        <f t="shared" si="83"/>
        <v>1.6249342238413276</v>
      </c>
      <c r="AM63" s="565">
        <f t="shared" si="84"/>
        <v>174</v>
      </c>
      <c r="AN63" s="474">
        <f t="shared" si="85"/>
        <v>194.39325030692297</v>
      </c>
      <c r="AP63">
        <f t="shared" si="86"/>
        <v>174</v>
      </c>
      <c r="AQ63">
        <f t="shared" si="87"/>
        <v>194.39325030692297</v>
      </c>
      <c r="AS63" s="6">
        <f t="shared" si="48"/>
        <v>5.1442115321448831</v>
      </c>
      <c r="AT63" s="6">
        <f t="shared" si="88"/>
        <v>2.8788706739526408</v>
      </c>
      <c r="AU63" s="6">
        <f t="shared" si="49"/>
        <v>2.2653408581922423</v>
      </c>
      <c r="AV63" s="6">
        <f t="shared" si="89"/>
        <v>2.2653408581922423</v>
      </c>
      <c r="AW63" s="181">
        <f t="shared" si="50"/>
        <v>0.55963302752293576</v>
      </c>
      <c r="AX63" s="181">
        <f t="shared" si="90"/>
        <v>2.9</v>
      </c>
      <c r="AY63" s="181">
        <f t="shared" si="91"/>
        <v>0.1901639344262295</v>
      </c>
      <c r="AZ63" s="181">
        <f t="shared" si="51"/>
        <v>15.25</v>
      </c>
      <c r="BA63" s="474">
        <f t="shared" si="92"/>
        <v>3.3394899817850625</v>
      </c>
      <c r="BB63" s="6">
        <f t="shared" si="93"/>
        <v>0.91242895677187519</v>
      </c>
      <c r="BC63" s="6"/>
      <c r="BD63" s="181">
        <f t="shared" si="52"/>
        <v>0.37302200458915413</v>
      </c>
      <c r="BE63" s="181">
        <f t="shared" si="94"/>
        <v>0.33089496039170047</v>
      </c>
      <c r="BF63" s="181"/>
      <c r="BG63" s="548">
        <f t="shared" si="95"/>
        <v>4.8700895567698819E-2</v>
      </c>
      <c r="BH63" s="548">
        <f t="shared" si="96"/>
        <v>4.5749999999999999E-2</v>
      </c>
      <c r="BI63" s="548">
        <f t="shared" si="97"/>
        <v>2.429915628836537E-3</v>
      </c>
      <c r="BJ63" s="548">
        <f t="shared" si="98"/>
        <v>8.3000754310344829E-3</v>
      </c>
      <c r="BK63">
        <f t="shared" si="99"/>
        <v>3.48E-3</v>
      </c>
      <c r="BL63" s="474">
        <f t="shared" si="53"/>
        <v>108.66088662756982</v>
      </c>
      <c r="BM63" s="548">
        <f t="shared" si="100"/>
        <v>6.0899999999999989E-2</v>
      </c>
      <c r="BN63" s="548"/>
      <c r="BP63" s="474">
        <f t="shared" si="55"/>
        <v>60.899999999999991</v>
      </c>
      <c r="BQ63" s="548">
        <f t="shared" si="101"/>
        <v>0</v>
      </c>
      <c r="BR63" s="548">
        <f t="shared" si="102"/>
        <v>0</v>
      </c>
      <c r="BS63" s="548">
        <f t="shared" si="103"/>
        <v>1.8261291279606028E-2</v>
      </c>
      <c r="BT63" s="548">
        <f t="shared" si="104"/>
        <v>0.15225</v>
      </c>
      <c r="BU63" s="474">
        <f t="shared" si="56"/>
        <v>170.51129127960601</v>
      </c>
      <c r="BV63" s="181">
        <f t="shared" si="57"/>
        <v>0.34007217790717581</v>
      </c>
      <c r="BW63" s="6">
        <f t="shared" si="58"/>
        <v>2.61</v>
      </c>
      <c r="BX63" s="181">
        <f t="shared" si="59"/>
        <v>0.88472411608978729</v>
      </c>
      <c r="BY63" s="6">
        <f t="shared" si="60"/>
        <v>88.472411608978732</v>
      </c>
      <c r="CB63" s="583">
        <f t="shared" si="105"/>
        <v>-50</v>
      </c>
      <c r="CC63">
        <f t="shared" si="106"/>
        <v>-50</v>
      </c>
    </row>
    <row r="64" spans="5:81" x14ac:dyDescent="0.2">
      <c r="E64" s="178">
        <v>59</v>
      </c>
      <c r="F64" s="225">
        <f t="shared" si="107"/>
        <v>0.17699999999999999</v>
      </c>
      <c r="G64" s="225"/>
      <c r="H64" s="225">
        <f t="shared" si="62"/>
        <v>2.6549999999999998</v>
      </c>
      <c r="I64" s="561">
        <f t="shared" si="63"/>
        <v>12</v>
      </c>
      <c r="J64" s="180">
        <f t="shared" si="64"/>
        <v>15.25</v>
      </c>
      <c r="K64" s="456">
        <f t="shared" si="65"/>
        <v>27.25</v>
      </c>
      <c r="L64" s="456"/>
      <c r="M64" s="225">
        <f t="shared" si="66"/>
        <v>0.55963302752293576</v>
      </c>
      <c r="N64" s="180">
        <f t="shared" si="5"/>
        <v>4.3819266055045869</v>
      </c>
      <c r="O64" s="180">
        <f t="shared" si="46"/>
        <v>2.6549999999999998</v>
      </c>
      <c r="P64" s="225">
        <f t="shared" si="67"/>
        <v>0.29212844036697244</v>
      </c>
      <c r="Q64" s="225">
        <f t="shared" si="68"/>
        <v>15</v>
      </c>
      <c r="R64" s="225">
        <f t="shared" si="69"/>
        <v>0.32458715596330273</v>
      </c>
      <c r="S64" s="180">
        <f t="shared" si="70"/>
        <v>32.32937094483713</v>
      </c>
      <c r="T64" s="180">
        <f t="shared" si="71"/>
        <v>15</v>
      </c>
      <c r="U64" s="225">
        <f t="shared" si="72"/>
        <v>0.87855191256830589</v>
      </c>
      <c r="V64" s="225">
        <f t="shared" si="73"/>
        <v>2.9285063752276868</v>
      </c>
      <c r="W64" s="225">
        <f t="shared" si="74"/>
        <v>2.3043984591955566</v>
      </c>
      <c r="X64" s="205">
        <f t="shared" si="75"/>
        <v>350</v>
      </c>
      <c r="Y64" s="456">
        <f t="shared" si="47"/>
        <v>191.09844945426326</v>
      </c>
      <c r="AA64" s="225">
        <f t="shared" si="76"/>
        <v>0.47968545216251629</v>
      </c>
      <c r="AB64" s="181">
        <f t="shared" si="77"/>
        <v>1.258191349934469</v>
      </c>
      <c r="AC64" s="181">
        <f t="shared" si="78"/>
        <v>0.10561881515504945</v>
      </c>
      <c r="AD64" s="181"/>
      <c r="AE64" s="181">
        <f t="shared" si="79"/>
        <v>0.76065573770491812</v>
      </c>
      <c r="AF64" s="565">
        <f t="shared" si="108"/>
        <v>1604.7859690844232</v>
      </c>
      <c r="AG64" s="548">
        <f t="shared" si="80"/>
        <v>3.8603278688524589E-2</v>
      </c>
      <c r="AI64" s="181">
        <f t="shared" si="81"/>
        <v>0.65456274027199324</v>
      </c>
      <c r="AJ64" s="181">
        <f t="shared" si="82"/>
        <v>0.87855191256830589</v>
      </c>
      <c r="AK64" s="181">
        <f t="shared" si="83"/>
        <v>1.6359643796802266</v>
      </c>
      <c r="AM64" s="565">
        <f t="shared" si="84"/>
        <v>177</v>
      </c>
      <c r="AN64" s="474">
        <f t="shared" si="85"/>
        <v>191.09844945426326</v>
      </c>
      <c r="AP64">
        <f t="shared" si="86"/>
        <v>177</v>
      </c>
      <c r="AQ64">
        <f t="shared" si="87"/>
        <v>191.09844945426326</v>
      </c>
      <c r="AS64" s="6">
        <f t="shared" si="48"/>
        <v>5.2329048344232429</v>
      </c>
      <c r="AT64" s="6">
        <f t="shared" si="88"/>
        <v>2.9285063752276868</v>
      </c>
      <c r="AU64" s="6">
        <f t="shared" si="49"/>
        <v>2.3043984591955562</v>
      </c>
      <c r="AV64" s="6">
        <f t="shared" si="89"/>
        <v>2.3043984591955566</v>
      </c>
      <c r="AW64" s="181">
        <f t="shared" si="50"/>
        <v>0.55963302752293587</v>
      </c>
      <c r="AX64" s="181">
        <f t="shared" si="90"/>
        <v>2.9499999999999993</v>
      </c>
      <c r="AY64" s="181">
        <f t="shared" si="91"/>
        <v>0.1934426229508196</v>
      </c>
      <c r="AZ64" s="181">
        <f t="shared" si="51"/>
        <v>15.250000000000002</v>
      </c>
      <c r="BA64" s="474">
        <f t="shared" si="92"/>
        <v>3.45563752276867</v>
      </c>
      <c r="BB64" s="6">
        <f t="shared" si="93"/>
        <v>0.94416325758706787</v>
      </c>
      <c r="BC64" s="6"/>
      <c r="BD64" s="181">
        <f t="shared" si="52"/>
        <v>0.37945341846138098</v>
      </c>
      <c r="BE64" s="181">
        <f t="shared" si="94"/>
        <v>0.33660004591569526</v>
      </c>
      <c r="BF64" s="181"/>
      <c r="BG64" s="548">
        <f t="shared" si="95"/>
        <v>5.0394713873709758E-2</v>
      </c>
      <c r="BH64" s="548">
        <f t="shared" si="96"/>
        <v>4.5749999999999999E-2</v>
      </c>
      <c r="BI64" s="548">
        <f t="shared" si="97"/>
        <v>2.3887306181782906E-3</v>
      </c>
      <c r="BJ64" s="548">
        <f t="shared" si="98"/>
        <v>8.1593961864406782E-3</v>
      </c>
      <c r="BK64">
        <f t="shared" si="99"/>
        <v>3.48E-3</v>
      </c>
      <c r="BL64" s="474">
        <f t="shared" si="53"/>
        <v>110.17284067832874</v>
      </c>
      <c r="BM64" s="548">
        <f t="shared" si="100"/>
        <v>6.1949999999999991E-2</v>
      </c>
      <c r="BN64" s="548"/>
      <c r="BP64" s="474">
        <f t="shared" si="55"/>
        <v>61.949999999999989</v>
      </c>
      <c r="BQ64" s="548">
        <f t="shared" si="101"/>
        <v>0</v>
      </c>
      <c r="BR64" s="548">
        <f t="shared" si="102"/>
        <v>0</v>
      </c>
      <c r="BS64" s="548">
        <f t="shared" si="103"/>
        <v>1.8261291279606073E-2</v>
      </c>
      <c r="BT64" s="548">
        <f t="shared" si="104"/>
        <v>0.15487499999999998</v>
      </c>
      <c r="BU64" s="474">
        <f t="shared" si="56"/>
        <v>173.13629127960607</v>
      </c>
      <c r="BV64" s="181">
        <f t="shared" si="57"/>
        <v>0.34525913195793478</v>
      </c>
      <c r="BW64" s="6">
        <f t="shared" si="58"/>
        <v>2.6549999999999998</v>
      </c>
      <c r="BX64" s="181">
        <f t="shared" si="59"/>
        <v>0.8849235626748605</v>
      </c>
      <c r="BY64" s="6">
        <f t="shared" si="60"/>
        <v>88.492356267486045</v>
      </c>
      <c r="CB64" s="583">
        <f t="shared" si="105"/>
        <v>-50</v>
      </c>
      <c r="CC64">
        <f t="shared" si="106"/>
        <v>-50</v>
      </c>
    </row>
    <row r="65" spans="5:81" x14ac:dyDescent="0.2">
      <c r="E65" s="178">
        <v>60</v>
      </c>
      <c r="F65" s="225">
        <f t="shared" si="107"/>
        <v>0.18</v>
      </c>
      <c r="G65" s="225"/>
      <c r="H65" s="225">
        <f t="shared" si="62"/>
        <v>2.6999999999999997</v>
      </c>
      <c r="I65" s="561">
        <f t="shared" si="63"/>
        <v>12</v>
      </c>
      <c r="J65" s="180">
        <f t="shared" si="64"/>
        <v>15.25</v>
      </c>
      <c r="K65" s="456">
        <f t="shared" si="65"/>
        <v>27.25</v>
      </c>
      <c r="L65" s="456"/>
      <c r="M65" s="225">
        <f t="shared" si="66"/>
        <v>0.55963302752293576</v>
      </c>
      <c r="N65" s="180">
        <f t="shared" si="5"/>
        <v>4.3819266055045869</v>
      </c>
      <c r="O65" s="180">
        <f t="shared" si="46"/>
        <v>2.6999999999999997</v>
      </c>
      <c r="P65" s="225">
        <f t="shared" si="67"/>
        <v>0.29212844036697244</v>
      </c>
      <c r="Q65" s="225">
        <f t="shared" si="68"/>
        <v>15</v>
      </c>
      <c r="R65" s="225">
        <f t="shared" si="69"/>
        <v>0.32458715596330273</v>
      </c>
      <c r="S65" s="180">
        <f t="shared" si="70"/>
        <v>31.594208652904502</v>
      </c>
      <c r="T65" s="180">
        <f t="shared" si="71"/>
        <v>15</v>
      </c>
      <c r="U65" s="225">
        <f t="shared" si="72"/>
        <v>0.89344262295081955</v>
      </c>
      <c r="V65" s="225">
        <f t="shared" si="73"/>
        <v>2.9781420765027322</v>
      </c>
      <c r="W65" s="225">
        <f t="shared" si="74"/>
        <v>2.3434560601988714</v>
      </c>
      <c r="X65" s="205">
        <f t="shared" si="75"/>
        <v>350</v>
      </c>
      <c r="Y65" s="456">
        <f t="shared" si="47"/>
        <v>187.91347529669218</v>
      </c>
      <c r="AA65" s="225">
        <f t="shared" si="76"/>
        <v>0.47968545216251629</v>
      </c>
      <c r="AB65" s="181">
        <f t="shared" si="77"/>
        <v>1.258191349934469</v>
      </c>
      <c r="AC65" s="181">
        <f t="shared" si="78"/>
        <v>0.10561881515504945</v>
      </c>
      <c r="AD65" s="181"/>
      <c r="AE65" s="181">
        <f t="shared" si="79"/>
        <v>0.76065573770491812</v>
      </c>
      <c r="AF65" s="565">
        <f t="shared" si="108"/>
        <v>1631.985731272295</v>
      </c>
      <c r="AG65" s="548">
        <f t="shared" si="80"/>
        <v>3.8603278688524589E-2</v>
      </c>
      <c r="AI65" s="181">
        <f t="shared" si="81"/>
        <v>0.66008657440845264</v>
      </c>
      <c r="AJ65" s="181">
        <f t="shared" si="82"/>
        <v>0.89344262295081955</v>
      </c>
      <c r="AK65" s="181">
        <f t="shared" si="83"/>
        <v>1.6469945355191256</v>
      </c>
      <c r="AM65" s="565">
        <f t="shared" si="84"/>
        <v>180</v>
      </c>
      <c r="AN65" s="474">
        <f t="shared" si="85"/>
        <v>187.91347529669218</v>
      </c>
      <c r="AP65">
        <f t="shared" si="86"/>
        <v>180</v>
      </c>
      <c r="AQ65">
        <f t="shared" si="87"/>
        <v>187.91347529669218</v>
      </c>
      <c r="AS65" s="6">
        <f t="shared" si="48"/>
        <v>5.3215981367016045</v>
      </c>
      <c r="AT65" s="6">
        <f t="shared" si="88"/>
        <v>2.9781420765027322</v>
      </c>
      <c r="AU65" s="6">
        <f t="shared" si="49"/>
        <v>2.3434560601988723</v>
      </c>
      <c r="AV65" s="6">
        <f t="shared" si="89"/>
        <v>2.3434560601988714</v>
      </c>
      <c r="AW65" s="181">
        <f t="shared" si="50"/>
        <v>0.55963302752293564</v>
      </c>
      <c r="AX65" s="181">
        <f t="shared" si="90"/>
        <v>2.9999999999999991</v>
      </c>
      <c r="AY65" s="181">
        <f t="shared" si="91"/>
        <v>0.19672131147540986</v>
      </c>
      <c r="AZ65" s="181">
        <f t="shared" si="51"/>
        <v>15.249999999999993</v>
      </c>
      <c r="BA65" s="474">
        <f t="shared" si="92"/>
        <v>3.5737704918032787</v>
      </c>
      <c r="BB65" s="6">
        <f t="shared" si="93"/>
        <v>0.97644002508286309</v>
      </c>
      <c r="BC65" s="6"/>
      <c r="BD65" s="181">
        <f t="shared" si="52"/>
        <v>0.38588483233360771</v>
      </c>
      <c r="BE65" s="181">
        <f t="shared" si="94"/>
        <v>0.34230513143969016</v>
      </c>
      <c r="BF65" s="181"/>
      <c r="BG65" s="548">
        <f t="shared" si="95"/>
        <v>5.2117486338797779E-2</v>
      </c>
      <c r="BH65" s="548">
        <f t="shared" si="96"/>
        <v>4.5749999999999992E-2</v>
      </c>
      <c r="BI65" s="548">
        <f t="shared" si="97"/>
        <v>2.3489184412086523E-3</v>
      </c>
      <c r="BJ65" s="548">
        <f t="shared" si="98"/>
        <v>8.0234062499999984E-3</v>
      </c>
      <c r="BK65">
        <f t="shared" si="99"/>
        <v>3.48E-3</v>
      </c>
      <c r="BL65" s="474">
        <f t="shared" si="53"/>
        <v>111.71981103000643</v>
      </c>
      <c r="BM65" s="548">
        <f t="shared" si="100"/>
        <v>6.3E-2</v>
      </c>
      <c r="BN65" s="548"/>
      <c r="BP65" s="474">
        <f t="shared" si="55"/>
        <v>63</v>
      </c>
      <c r="BQ65" s="548">
        <f t="shared" si="101"/>
        <v>0</v>
      </c>
      <c r="BR65" s="548">
        <f t="shared" si="102"/>
        <v>0</v>
      </c>
      <c r="BS65" s="548">
        <f t="shared" si="103"/>
        <v>1.8261291279606046E-2</v>
      </c>
      <c r="BT65" s="548">
        <f t="shared" si="104"/>
        <v>0.15749999999999995</v>
      </c>
      <c r="BU65" s="474">
        <f t="shared" si="56"/>
        <v>175.76129127960598</v>
      </c>
      <c r="BV65" s="181">
        <f t="shared" si="57"/>
        <v>0.35048110230961244</v>
      </c>
      <c r="BW65" s="6">
        <f t="shared" si="58"/>
        <v>2.6999999999999997</v>
      </c>
      <c r="BX65" s="181">
        <f t="shared" si="59"/>
        <v>0.88510628633488253</v>
      </c>
      <c r="BY65" s="6">
        <f t="shared" si="60"/>
        <v>88.510628633488253</v>
      </c>
      <c r="CB65" s="583">
        <f t="shared" si="105"/>
        <v>-50</v>
      </c>
      <c r="CC65">
        <f t="shared" si="106"/>
        <v>-50</v>
      </c>
    </row>
    <row r="66" spans="5:81" x14ac:dyDescent="0.2">
      <c r="E66" s="178">
        <v>61</v>
      </c>
      <c r="F66" s="225">
        <f t="shared" si="107"/>
        <v>0.183</v>
      </c>
      <c r="G66" s="225"/>
      <c r="H66" s="225">
        <f t="shared" si="62"/>
        <v>2.7450000000000001</v>
      </c>
      <c r="I66" s="561">
        <f t="shared" si="63"/>
        <v>12</v>
      </c>
      <c r="J66" s="180">
        <f t="shared" si="64"/>
        <v>15.25</v>
      </c>
      <c r="K66" s="456">
        <f t="shared" si="65"/>
        <v>27.25</v>
      </c>
      <c r="L66" s="456"/>
      <c r="M66" s="225">
        <f t="shared" si="66"/>
        <v>0.55963302752293576</v>
      </c>
      <c r="N66" s="180">
        <f t="shared" si="5"/>
        <v>4.3819266055045869</v>
      </c>
      <c r="O66" s="180">
        <f t="shared" si="46"/>
        <v>2.7450000000000001</v>
      </c>
      <c r="P66" s="225">
        <f t="shared" si="67"/>
        <v>0.29212844036697244</v>
      </c>
      <c r="Q66" s="225">
        <f t="shared" si="68"/>
        <v>15</v>
      </c>
      <c r="R66" s="225">
        <f t="shared" si="69"/>
        <v>0.32458715596330273</v>
      </c>
      <c r="S66" s="180">
        <f t="shared" si="70"/>
        <v>30.883245261531197</v>
      </c>
      <c r="T66" s="180">
        <f t="shared" si="71"/>
        <v>15</v>
      </c>
      <c r="U66" s="225">
        <f t="shared" si="72"/>
        <v>0.90833333333333333</v>
      </c>
      <c r="V66" s="225">
        <f t="shared" si="73"/>
        <v>3.0277777777777777</v>
      </c>
      <c r="W66" s="225">
        <f t="shared" si="74"/>
        <v>2.3825136612021858</v>
      </c>
      <c r="X66" s="205">
        <f t="shared" si="75"/>
        <v>350</v>
      </c>
      <c r="Y66" s="456">
        <f t="shared" si="47"/>
        <v>184.83292652133659</v>
      </c>
      <c r="AA66" s="225">
        <f t="shared" si="76"/>
        <v>0.47968545216251629</v>
      </c>
      <c r="AB66" s="181">
        <f t="shared" si="77"/>
        <v>1.258191349934469</v>
      </c>
      <c r="AC66" s="181">
        <f t="shared" si="78"/>
        <v>0.10561881515504945</v>
      </c>
      <c r="AD66" s="181"/>
      <c r="AE66" s="181">
        <f t="shared" si="79"/>
        <v>0.76065573770491812</v>
      </c>
      <c r="AF66" s="565">
        <f t="shared" si="108"/>
        <v>1659.1854934601665</v>
      </c>
      <c r="AG66" s="548">
        <f t="shared" si="80"/>
        <v>3.8603278688524589E-2</v>
      </c>
      <c r="AI66" s="181">
        <f t="shared" si="81"/>
        <v>0.66556456521977669</v>
      </c>
      <c r="AJ66" s="181">
        <f t="shared" si="82"/>
        <v>0.90833333333333333</v>
      </c>
      <c r="AK66" s="181">
        <f t="shared" si="83"/>
        <v>1.6580246913580248</v>
      </c>
      <c r="AM66" s="565">
        <f t="shared" si="84"/>
        <v>183</v>
      </c>
      <c r="AN66" s="474">
        <f t="shared" si="85"/>
        <v>184.83292652133659</v>
      </c>
      <c r="AP66">
        <f t="shared" si="86"/>
        <v>183</v>
      </c>
      <c r="AQ66">
        <f t="shared" si="87"/>
        <v>184.83292652133659</v>
      </c>
      <c r="AS66" s="6">
        <f t="shared" si="48"/>
        <v>5.4102914389799635</v>
      </c>
      <c r="AT66" s="6">
        <f t="shared" si="88"/>
        <v>3.0277777777777777</v>
      </c>
      <c r="AU66" s="6">
        <f t="shared" si="49"/>
        <v>2.3825136612021858</v>
      </c>
      <c r="AV66" s="6">
        <f t="shared" si="89"/>
        <v>2.3825136612021858</v>
      </c>
      <c r="AW66" s="181">
        <f t="shared" si="50"/>
        <v>0.55963302752293576</v>
      </c>
      <c r="AX66" s="181">
        <f t="shared" si="90"/>
        <v>3.05</v>
      </c>
      <c r="AY66" s="181">
        <f t="shared" si="91"/>
        <v>0.2</v>
      </c>
      <c r="AZ66" s="181">
        <f t="shared" si="51"/>
        <v>15.249999999999998</v>
      </c>
      <c r="BA66" s="474">
        <f t="shared" si="92"/>
        <v>3.6938888888888886</v>
      </c>
      <c r="BB66" s="6">
        <f t="shared" si="93"/>
        <v>1.0092592592592591</v>
      </c>
      <c r="BC66" s="6"/>
      <c r="BD66" s="181">
        <f t="shared" si="52"/>
        <v>0.39231624620583461</v>
      </c>
      <c r="BE66" s="181">
        <f t="shared" si="94"/>
        <v>0.348010216963685</v>
      </c>
      <c r="BF66" s="181"/>
      <c r="BG66" s="548">
        <f t="shared" si="95"/>
        <v>5.3869212962962959E-2</v>
      </c>
      <c r="BH66" s="548">
        <f t="shared" si="96"/>
        <v>4.5749999999999999E-2</v>
      </c>
      <c r="BI66" s="548">
        <f t="shared" si="97"/>
        <v>2.3104115815167072E-3</v>
      </c>
      <c r="BJ66" s="548">
        <f t="shared" si="98"/>
        <v>7.8918749999999996E-3</v>
      </c>
      <c r="BK66">
        <f t="shared" si="99"/>
        <v>3.48E-3</v>
      </c>
      <c r="BL66" s="474">
        <f t="shared" si="53"/>
        <v>113.30149954447967</v>
      </c>
      <c r="BM66" s="548">
        <f t="shared" si="100"/>
        <v>6.4049999999999996E-2</v>
      </c>
      <c r="BN66" s="548"/>
      <c r="BP66" s="474">
        <f t="shared" si="55"/>
        <v>64.05</v>
      </c>
      <c r="BQ66" s="548">
        <f t="shared" si="101"/>
        <v>0</v>
      </c>
      <c r="BR66" s="548">
        <f t="shared" si="102"/>
        <v>0</v>
      </c>
      <c r="BS66" s="548">
        <f t="shared" si="103"/>
        <v>1.8261291279606053E-2</v>
      </c>
      <c r="BT66" s="548">
        <f t="shared" si="104"/>
        <v>0.16012499999999999</v>
      </c>
      <c r="BU66" s="474">
        <f t="shared" si="56"/>
        <v>178.38629127960604</v>
      </c>
      <c r="BV66" s="181">
        <f t="shared" si="57"/>
        <v>0.35573779082408569</v>
      </c>
      <c r="BW66" s="6">
        <f t="shared" si="58"/>
        <v>2.7450000000000001</v>
      </c>
      <c r="BX66" s="181">
        <f t="shared" si="59"/>
        <v>0.88527317857162602</v>
      </c>
      <c r="BY66" s="6">
        <f t="shared" si="60"/>
        <v>88.5273178571626</v>
      </c>
      <c r="CB66" s="583">
        <f t="shared" si="105"/>
        <v>-50</v>
      </c>
      <c r="CC66">
        <f t="shared" si="106"/>
        <v>-50</v>
      </c>
    </row>
    <row r="67" spans="5:81" x14ac:dyDescent="0.2">
      <c r="E67" s="178">
        <v>62</v>
      </c>
      <c r="F67" s="225">
        <f t="shared" si="107"/>
        <v>0.186</v>
      </c>
      <c r="G67" s="225"/>
      <c r="H67" s="225">
        <f t="shared" si="62"/>
        <v>2.79</v>
      </c>
      <c r="I67" s="561">
        <f t="shared" si="63"/>
        <v>12</v>
      </c>
      <c r="J67" s="180">
        <f t="shared" si="64"/>
        <v>15.25</v>
      </c>
      <c r="K67" s="456">
        <f t="shared" si="65"/>
        <v>27.25</v>
      </c>
      <c r="L67" s="456"/>
      <c r="M67" s="225">
        <f t="shared" si="66"/>
        <v>0.55963302752293576</v>
      </c>
      <c r="N67" s="180">
        <f t="shared" si="5"/>
        <v>4.3819266055045869</v>
      </c>
      <c r="O67" s="180">
        <f t="shared" si="46"/>
        <v>2.79</v>
      </c>
      <c r="P67" s="225">
        <f t="shared" si="67"/>
        <v>0.29212844036697244</v>
      </c>
      <c r="Q67" s="225">
        <f t="shared" si="68"/>
        <v>15</v>
      </c>
      <c r="R67" s="225">
        <f t="shared" si="69"/>
        <v>0.32458715596330273</v>
      </c>
      <c r="S67" s="180">
        <f t="shared" si="70"/>
        <v>30.19531153309045</v>
      </c>
      <c r="T67" s="180">
        <f t="shared" si="71"/>
        <v>15</v>
      </c>
      <c r="U67" s="225">
        <f t="shared" si="72"/>
        <v>0.92322404371584699</v>
      </c>
      <c r="V67" s="225">
        <f t="shared" si="73"/>
        <v>3.0774134790528231</v>
      </c>
      <c r="W67" s="225">
        <f t="shared" si="74"/>
        <v>2.4215712622055001</v>
      </c>
      <c r="X67" s="205">
        <f t="shared" si="75"/>
        <v>350</v>
      </c>
      <c r="Y67" s="456">
        <f t="shared" si="47"/>
        <v>181.85175028712149</v>
      </c>
      <c r="AA67" s="225">
        <f t="shared" si="76"/>
        <v>0.47968545216251629</v>
      </c>
      <c r="AB67" s="181">
        <f t="shared" si="77"/>
        <v>1.258191349934469</v>
      </c>
      <c r="AC67" s="181">
        <f t="shared" si="78"/>
        <v>0.10561881515504945</v>
      </c>
      <c r="AD67" s="181"/>
      <c r="AE67" s="181">
        <f t="shared" si="79"/>
        <v>0.76065573770491812</v>
      </c>
      <c r="AF67" s="565">
        <f t="shared" si="108"/>
        <v>1686.3852556480381</v>
      </c>
      <c r="AG67" s="548">
        <f t="shared" si="80"/>
        <v>3.8603278688524589E-2</v>
      </c>
      <c r="AI67" s="181">
        <f t="shared" si="81"/>
        <v>0.67099783549434433</v>
      </c>
      <c r="AJ67" s="181">
        <f t="shared" si="82"/>
        <v>0.92322404371584699</v>
      </c>
      <c r="AK67" s="181">
        <f t="shared" si="83"/>
        <v>1.6690548471969238</v>
      </c>
      <c r="AM67" s="565">
        <f t="shared" si="84"/>
        <v>186</v>
      </c>
      <c r="AN67" s="474">
        <f t="shared" si="85"/>
        <v>181.85175028712149</v>
      </c>
      <c r="AP67">
        <f t="shared" si="86"/>
        <v>186</v>
      </c>
      <c r="AQ67">
        <f t="shared" si="87"/>
        <v>181.85175028712149</v>
      </c>
      <c r="AS67" s="6">
        <f t="shared" si="48"/>
        <v>5.4989847412583233</v>
      </c>
      <c r="AT67" s="6">
        <f t="shared" si="88"/>
        <v>3.0774134790528231</v>
      </c>
      <c r="AU67" s="6">
        <f t="shared" si="49"/>
        <v>2.4215712622055001</v>
      </c>
      <c r="AV67" s="6">
        <f t="shared" si="89"/>
        <v>2.4215712622055001</v>
      </c>
      <c r="AW67" s="181">
        <f t="shared" si="50"/>
        <v>0.55963302752293576</v>
      </c>
      <c r="AX67" s="181">
        <f t="shared" si="90"/>
        <v>3.1</v>
      </c>
      <c r="AY67" s="181">
        <f t="shared" si="91"/>
        <v>0.20327868852459016</v>
      </c>
      <c r="AZ67" s="181">
        <f t="shared" si="51"/>
        <v>15.25</v>
      </c>
      <c r="BA67" s="474">
        <f t="shared" si="92"/>
        <v>3.815992714025501</v>
      </c>
      <c r="BB67" s="6">
        <f t="shared" si="93"/>
        <v>1.0426209601162568</v>
      </c>
      <c r="BC67" s="6"/>
      <c r="BD67" s="181">
        <f t="shared" si="52"/>
        <v>0.39874766007806139</v>
      </c>
      <c r="BE67" s="181">
        <f t="shared" si="94"/>
        <v>0.35371530248767985</v>
      </c>
      <c r="BF67" s="181"/>
      <c r="BG67" s="548">
        <f t="shared" si="95"/>
        <v>5.5649893746205222E-2</v>
      </c>
      <c r="BH67" s="548">
        <f t="shared" si="96"/>
        <v>4.5749999999999999E-2</v>
      </c>
      <c r="BI67" s="548">
        <f t="shared" si="97"/>
        <v>2.2731468785890186E-3</v>
      </c>
      <c r="BJ67" s="548">
        <f t="shared" si="98"/>
        <v>7.7645866935483867E-3</v>
      </c>
      <c r="BK67">
        <f t="shared" si="99"/>
        <v>3.48E-3</v>
      </c>
      <c r="BL67" s="474">
        <f t="shared" si="53"/>
        <v>114.91762731834264</v>
      </c>
      <c r="BM67" s="548">
        <f t="shared" si="100"/>
        <v>6.5099999999999991E-2</v>
      </c>
      <c r="BN67" s="548"/>
      <c r="BP67" s="474">
        <f t="shared" si="55"/>
        <v>65.099999999999994</v>
      </c>
      <c r="BQ67" s="548">
        <f t="shared" si="101"/>
        <v>0</v>
      </c>
      <c r="BR67" s="548">
        <f t="shared" si="102"/>
        <v>0</v>
      </c>
      <c r="BS67" s="548">
        <f t="shared" si="103"/>
        <v>1.826129127960607E-2</v>
      </c>
      <c r="BT67" s="548">
        <f t="shared" si="104"/>
        <v>0.16275000000000003</v>
      </c>
      <c r="BU67" s="474">
        <f t="shared" si="56"/>
        <v>181.0112912796061</v>
      </c>
      <c r="BV67" s="181">
        <f t="shared" si="57"/>
        <v>0.36102891859794872</v>
      </c>
      <c r="BW67" s="6">
        <f t="shared" si="58"/>
        <v>2.79</v>
      </c>
      <c r="BX67" s="181">
        <f t="shared" si="59"/>
        <v>0.88542506973925561</v>
      </c>
      <c r="BY67" s="6">
        <f t="shared" si="60"/>
        <v>88.542506973925555</v>
      </c>
      <c r="CB67" s="583">
        <f t="shared" si="105"/>
        <v>-50</v>
      </c>
      <c r="CC67">
        <f t="shared" si="106"/>
        <v>-50</v>
      </c>
    </row>
    <row r="68" spans="5:81" x14ac:dyDescent="0.2">
      <c r="E68" s="178">
        <v>63</v>
      </c>
      <c r="F68" s="225">
        <f t="shared" si="107"/>
        <v>0.189</v>
      </c>
      <c r="G68" s="225"/>
      <c r="H68" s="225">
        <f t="shared" si="62"/>
        <v>2.835</v>
      </c>
      <c r="I68" s="561">
        <f t="shared" si="63"/>
        <v>12</v>
      </c>
      <c r="J68" s="180">
        <f t="shared" si="64"/>
        <v>15.25</v>
      </c>
      <c r="K68" s="456">
        <f t="shared" si="65"/>
        <v>27.25</v>
      </c>
      <c r="L68" s="456"/>
      <c r="M68" s="225">
        <f t="shared" si="66"/>
        <v>0.55963302752293576</v>
      </c>
      <c r="N68" s="180">
        <f t="shared" si="5"/>
        <v>4.3819266055045869</v>
      </c>
      <c r="O68" s="180">
        <f t="shared" si="46"/>
        <v>2.835</v>
      </c>
      <c r="P68" s="225">
        <f t="shared" si="67"/>
        <v>0.29212844036697244</v>
      </c>
      <c r="Q68" s="225">
        <f t="shared" si="68"/>
        <v>15</v>
      </c>
      <c r="R68" s="225">
        <f t="shared" si="69"/>
        <v>0.32458715596330273</v>
      </c>
      <c r="S68" s="180">
        <f t="shared" si="70"/>
        <v>29.52931250509851</v>
      </c>
      <c r="T68" s="180">
        <f t="shared" si="71"/>
        <v>15</v>
      </c>
      <c r="U68" s="225">
        <f t="shared" si="72"/>
        <v>0.93811475409836054</v>
      </c>
      <c r="V68" s="225">
        <f t="shared" si="73"/>
        <v>3.127049180327869</v>
      </c>
      <c r="W68" s="225">
        <f t="shared" si="74"/>
        <v>2.4606288632088149</v>
      </c>
      <c r="X68" s="205">
        <f t="shared" si="75"/>
        <v>350</v>
      </c>
      <c r="Y68" s="456">
        <f t="shared" si="47"/>
        <v>178.96521456827827</v>
      </c>
      <c r="AA68" s="225">
        <f t="shared" si="76"/>
        <v>0.47968545216251629</v>
      </c>
      <c r="AB68" s="181">
        <f t="shared" si="77"/>
        <v>1.258191349934469</v>
      </c>
      <c r="AC68" s="181">
        <f t="shared" si="78"/>
        <v>0.10561881515504945</v>
      </c>
      <c r="AD68" s="181"/>
      <c r="AE68" s="181">
        <f t="shared" si="79"/>
        <v>0.76065573770491812</v>
      </c>
      <c r="AF68" s="565">
        <f t="shared" si="108"/>
        <v>1713.5850178359094</v>
      </c>
      <c r="AG68" s="548">
        <f t="shared" si="80"/>
        <v>3.8603278688524589E-2</v>
      </c>
      <c r="AI68" s="181">
        <f t="shared" si="81"/>
        <v>0.6763874629234341</v>
      </c>
      <c r="AJ68" s="181">
        <f t="shared" si="82"/>
        <v>0.93811475409836054</v>
      </c>
      <c r="AK68" s="181">
        <f t="shared" si="83"/>
        <v>1.6800850030358225</v>
      </c>
      <c r="AM68" s="565">
        <f t="shared" si="84"/>
        <v>189</v>
      </c>
      <c r="AN68" s="474">
        <f t="shared" si="85"/>
        <v>178.96521456827827</v>
      </c>
      <c r="AP68">
        <f t="shared" si="86"/>
        <v>189</v>
      </c>
      <c r="AQ68">
        <f t="shared" si="87"/>
        <v>178.96521456827827</v>
      </c>
      <c r="AS68" s="6">
        <f t="shared" si="48"/>
        <v>5.587678043536684</v>
      </c>
      <c r="AT68" s="6">
        <f t="shared" si="88"/>
        <v>3.127049180327869</v>
      </c>
      <c r="AU68" s="6">
        <f t="shared" si="49"/>
        <v>2.4606288632088149</v>
      </c>
      <c r="AV68" s="6">
        <f t="shared" si="89"/>
        <v>2.4606288632088149</v>
      </c>
      <c r="AW68" s="181">
        <f t="shared" si="50"/>
        <v>0.55963302752293576</v>
      </c>
      <c r="AX68" s="181">
        <f t="shared" si="90"/>
        <v>3.149999999999999</v>
      </c>
      <c r="AY68" s="181">
        <f t="shared" si="91"/>
        <v>0.20655737704918031</v>
      </c>
      <c r="AZ68" s="181">
        <f t="shared" si="51"/>
        <v>15.249999999999996</v>
      </c>
      <c r="BA68" s="474">
        <f t="shared" si="92"/>
        <v>3.9400819672131151</v>
      </c>
      <c r="BB68" s="6">
        <f t="shared" si="93"/>
        <v>1.0765251276538563</v>
      </c>
      <c r="BC68" s="6"/>
      <c r="BD68" s="181">
        <f t="shared" si="52"/>
        <v>0.40517907395028813</v>
      </c>
      <c r="BE68" s="181">
        <f t="shared" si="94"/>
        <v>0.35942038801167464</v>
      </c>
      <c r="BF68" s="181"/>
      <c r="BG68" s="548">
        <f t="shared" si="95"/>
        <v>5.7459528688524567E-2</v>
      </c>
      <c r="BH68" s="548">
        <f t="shared" si="96"/>
        <v>4.5749999999999992E-2</v>
      </c>
      <c r="BI68" s="548">
        <f t="shared" si="97"/>
        <v>2.2370651821034785E-3</v>
      </c>
      <c r="BJ68" s="548">
        <f t="shared" si="98"/>
        <v>7.6413392857142852E-3</v>
      </c>
      <c r="BK68">
        <f t="shared" si="99"/>
        <v>3.48E-3</v>
      </c>
      <c r="BL68" s="474">
        <f t="shared" si="53"/>
        <v>116.56793315634232</v>
      </c>
      <c r="BM68" s="548">
        <f t="shared" si="100"/>
        <v>6.615E-2</v>
      </c>
      <c r="BN68" s="548"/>
      <c r="BP68" s="474">
        <f t="shared" si="55"/>
        <v>66.150000000000006</v>
      </c>
      <c r="BQ68" s="548">
        <f t="shared" si="101"/>
        <v>0</v>
      </c>
      <c r="BR68" s="548">
        <f t="shared" si="102"/>
        <v>0</v>
      </c>
      <c r="BS68" s="548">
        <f t="shared" si="103"/>
        <v>1.8261291279606039E-2</v>
      </c>
      <c r="BT68" s="548">
        <f t="shared" si="104"/>
        <v>0.16537499999999997</v>
      </c>
      <c r="BU68" s="474">
        <f t="shared" si="56"/>
        <v>183.63629127960601</v>
      </c>
      <c r="BV68" s="181">
        <f t="shared" si="57"/>
        <v>0.36635422443594834</v>
      </c>
      <c r="BW68" s="6">
        <f t="shared" si="58"/>
        <v>2.835</v>
      </c>
      <c r="BX68" s="181">
        <f t="shared" si="59"/>
        <v>0.88556273415807429</v>
      </c>
      <c r="BY68" s="6">
        <f t="shared" si="60"/>
        <v>88.556273415807425</v>
      </c>
      <c r="CB68" s="583">
        <f t="shared" si="105"/>
        <v>-50</v>
      </c>
      <c r="CC68">
        <f t="shared" si="106"/>
        <v>-50</v>
      </c>
    </row>
    <row r="69" spans="5:81" x14ac:dyDescent="0.2">
      <c r="E69" s="178">
        <v>64</v>
      </c>
      <c r="F69" s="225">
        <f t="shared" si="107"/>
        <v>0.192</v>
      </c>
      <c r="G69" s="225"/>
      <c r="H69" s="225">
        <f t="shared" ref="H69:H100" si="109">F69*Vout</f>
        <v>2.88</v>
      </c>
      <c r="I69" s="561">
        <f t="shared" ref="I69:I105" si="110">Vin</f>
        <v>12</v>
      </c>
      <c r="J69" s="180">
        <f t="shared" ref="J69:J105" si="111">(T69+Vfwd1)*Nps</f>
        <v>15.25</v>
      </c>
      <c r="K69" s="456">
        <f t="shared" ref="K69:K105" si="112">(Vout+Vfwd1)*Nps+I69</f>
        <v>27.25</v>
      </c>
      <c r="L69" s="456"/>
      <c r="M69" s="225">
        <f t="shared" ref="M69:M105" si="113">(Vout+Vfwd1)*Nps/((Vout+Vfwd1)*Nps+I69)</f>
        <v>0.55963302752293576</v>
      </c>
      <c r="N69" s="180">
        <f t="shared" ref="N69:N105" si="114">M69*I69*Isw_max*0.5*Efficiency</f>
        <v>4.3819266055045869</v>
      </c>
      <c r="O69" s="180">
        <f t="shared" si="46"/>
        <v>2.88</v>
      </c>
      <c r="P69" s="225">
        <f t="shared" ref="P69:P100" si="115">N69/Vout</f>
        <v>0.29212844036697244</v>
      </c>
      <c r="Q69" s="225">
        <f t="shared" ref="Q69:Q105" si="116">MIN(Vout,N69/F69)</f>
        <v>15</v>
      </c>
      <c r="R69" s="225">
        <f t="shared" ref="R69:R100" si="117">Isw_max/2*I69*Nps*(Q69+Vfwd1)/Q69/(I69+Nps*(Q69+Vfwd1))</f>
        <v>0.32458715596330273</v>
      </c>
      <c r="S69" s="180">
        <f t="shared" ref="S69:S105" si="118">(SQRT(Isw_max^2*Nps^2*I69^2+4*Isw_max*F69/Efficiency*(Nps^2*Vfwd1*I69-Nps*I69^2)+4*(F69/Efficiency)^2*Nps^2*Vfwd1^2+8*(F69/Efficiency)^2*Nps*Vfwd1*I69+4*(F69/Efficiency)^2*I69^2)-2*F69/Efficiency*I69-2*F69/Efficiency*Nps*Vfwd1+Isw_max*Nps*I69)/(4*F69/Efficiency*Nps)</f>
        <v>28.884221688486384</v>
      </c>
      <c r="T69" s="180">
        <f t="shared" ref="T69:T100" si="119">MIN(Vout, S69)</f>
        <v>15</v>
      </c>
      <c r="U69" s="225">
        <f t="shared" ref="U69:U105" si="120">MIN(2*Vout*F69/(Efficiency*I69*M69), Isw_max)</f>
        <v>0.9530054644808742</v>
      </c>
      <c r="V69" s="225">
        <f t="shared" ref="V69:V100" si="121">L*U69/I69*1000000</f>
        <v>3.1766848816029145</v>
      </c>
      <c r="W69" s="225">
        <f t="shared" ref="W69:W105" si="122">L*U69/J69*1000000</f>
        <v>2.4996864642121293</v>
      </c>
      <c r="X69" s="205">
        <f t="shared" ref="X69:X105" si="123">IF(1/((350000*L)*(1/I69+1/J69))&gt;Isw_min, 350, 0.001/((Isw_min*L)*(1/I69+1/J69)))</f>
        <v>350</v>
      </c>
      <c r="Y69" s="456">
        <f t="shared" si="47"/>
        <v>176.16888309064893</v>
      </c>
      <c r="AA69" s="225">
        <f t="shared" ref="AA69:AA105" si="124">1/((X69*1000*L)*(1/I69+1/J69))</f>
        <v>0.47968545216251629</v>
      </c>
      <c r="AB69" s="181">
        <f t="shared" ref="AB69:AB100" si="125">L*AA69/J69*1000000</f>
        <v>1.258191349934469</v>
      </c>
      <c r="AC69" s="181">
        <f t="shared" ref="AC69:AC100" si="126">0.5*AB69*AA69*Nps*X69/1000</f>
        <v>0.10561881515504945</v>
      </c>
      <c r="AD69" s="181"/>
      <c r="AE69" s="181">
        <f t="shared" ref="AE69:AE105" si="127">L*Isw_min/J69*1000000</f>
        <v>0.76065573770491812</v>
      </c>
      <c r="AF69" s="565">
        <f t="shared" si="108"/>
        <v>1740.7847800237812</v>
      </c>
      <c r="AG69" s="548">
        <f t="shared" ref="AG69:AG105" si="128">0.5*AE69/1000000*Isw_min*Nps*X69*1000</f>
        <v>3.8603278688524589E-2</v>
      </c>
      <c r="AI69" s="181">
        <f t="shared" ref="AI69:AI105" si="129">SQRT(F69/Efficiency/(0.5*L/J69*Fsw_DCM*Nps))</f>
        <v>0.68173448259707736</v>
      </c>
      <c r="AJ69" s="181">
        <f t="shared" ref="AJ69:AJ100" si="130">MAX(IF(F69&gt;AC69,U69,AI69),Isw_min)</f>
        <v>0.9530054644808742</v>
      </c>
      <c r="AK69" s="181">
        <f t="shared" ref="AK69:AK100" si="131">IF(F69&gt;AG69, (AJ69-Isw_min)/1.08*0.8+1.2, AF69*0.2/350+1)</f>
        <v>1.6911151588747217</v>
      </c>
      <c r="AM69" s="565">
        <f t="shared" ref="AM69:AM105" si="132">F69*1000</f>
        <v>192</v>
      </c>
      <c r="AN69" s="474">
        <f t="shared" ref="AN69:AN105" si="133">IF(F69&gt;AG69, Y69, AF69)</f>
        <v>176.16888309064893</v>
      </c>
      <c r="AP69">
        <f t="shared" ref="AP69:AP105" si="134">IF(H69&gt;N69, "",AM69)</f>
        <v>192</v>
      </c>
      <c r="AQ69">
        <f t="shared" ref="AQ69:AQ105" si="135">IF(H69&gt;N69, "",AN69)</f>
        <v>176.16888309064893</v>
      </c>
      <c r="AS69" s="6">
        <f t="shared" si="48"/>
        <v>5.6763713458150438</v>
      </c>
      <c r="AT69" s="6">
        <f t="shared" ref="AT69:AT105" si="136">L*AJ69/I69*1000000</f>
        <v>3.1766848816029145</v>
      </c>
      <c r="AU69" s="6">
        <f t="shared" si="49"/>
        <v>2.4996864642121293</v>
      </c>
      <c r="AV69" s="6">
        <f t="shared" ref="AV69:AV105" si="137">L*AJ69/J69*1000000</f>
        <v>2.4996864642121293</v>
      </c>
      <c r="AW69" s="181">
        <f t="shared" si="50"/>
        <v>0.55963302752293576</v>
      </c>
      <c r="AX69" s="181">
        <f t="shared" ref="AX69:AX132" si="138">0.5*L*AJ69^2*AN69*1000</f>
        <v>3.1999999999999988</v>
      </c>
      <c r="AY69" s="181">
        <f t="shared" ref="AY69:AY132" si="139">AJ69*Nps/2*(1-AW69)</f>
        <v>0.20983606557377046</v>
      </c>
      <c r="AZ69" s="181">
        <f t="shared" si="51"/>
        <v>15.249999999999996</v>
      </c>
      <c r="BA69" s="474">
        <f t="shared" ref="BA69:BA105" si="140">F69*AT69/Vout_ripple*1000</f>
        <v>4.0661566484517309</v>
      </c>
      <c r="BB69" s="6">
        <f t="shared" ref="BB69:BB105" si="141">H69/Efficiency/I69*AU69/Vinripple1</f>
        <v>1.1109717618720574</v>
      </c>
      <c r="BC69" s="6"/>
      <c r="BD69" s="181">
        <f t="shared" si="52"/>
        <v>0.41161048782251491</v>
      </c>
      <c r="BE69" s="181">
        <f t="shared" ref="BE69:BE132" si="142">AJ69*Nps*SQRT((1-AW69)/3)</f>
        <v>0.36512547353566949</v>
      </c>
      <c r="BF69" s="181"/>
      <c r="BG69" s="548">
        <f t="shared" ref="BG69:BG105" si="143">Rdson*BD69^2</f>
        <v>5.9298117789921036E-2</v>
      </c>
      <c r="BH69" s="548">
        <f t="shared" ref="BH69:BH105" si="144">0.5*K69*AJ69*AN69*1000*Trise</f>
        <v>4.5749999999999999E-2</v>
      </c>
      <c r="BI69" s="548">
        <f t="shared" ref="BI69:BI105" si="145">Qg*Vdd*AN69*1000</f>
        <v>2.2021110386331116E-3</v>
      </c>
      <c r="BJ69" s="548">
        <f t="shared" ref="BJ69:BJ105" si="146">0.5*(Coss+Csw)*K69^2*AN69*1000</f>
        <v>7.5219433593749991E-3</v>
      </c>
      <c r="BK69">
        <f t="shared" ref="BK69:BK105" si="147">I69*IQ</f>
        <v>3.48E-3</v>
      </c>
      <c r="BL69" s="474">
        <f t="shared" si="53"/>
        <v>118.25217218792916</v>
      </c>
      <c r="BM69" s="548">
        <f t="shared" ref="BM69:BM105" si="148">Vfwd2*F69</f>
        <v>6.7199999999999996E-2</v>
      </c>
      <c r="BN69" s="548"/>
      <c r="BP69" s="474">
        <f t="shared" si="55"/>
        <v>67.2</v>
      </c>
      <c r="BQ69" s="548">
        <f t="shared" ref="BQ69:BQ105" si="149">Rdcr_pri*BD69^2</f>
        <v>0</v>
      </c>
      <c r="BR69" s="548">
        <f t="shared" ref="BR69:BR105" si="150">Rdcr_sec*BE69^2</f>
        <v>0</v>
      </c>
      <c r="BS69" s="548">
        <f t="shared" ref="BS69:BS105" si="151">AJ69^2.5*AN69^2.5*k_core</f>
        <v>1.8261291279606053E-2</v>
      </c>
      <c r="BT69" s="548">
        <f t="shared" ref="BT69:BT105" si="152">0.5*Lleak*0.000000001*AJ69^2*AN69*1000</f>
        <v>0.16799999999999995</v>
      </c>
      <c r="BU69" s="474">
        <f t="shared" si="56"/>
        <v>186.26129127960601</v>
      </c>
      <c r="BV69" s="181">
        <f t="shared" si="57"/>
        <v>0.37171346346753514</v>
      </c>
      <c r="BW69" s="6">
        <f t="shared" si="58"/>
        <v>2.88</v>
      </c>
      <c r="BX69" s="181">
        <f t="shared" si="59"/>
        <v>0.88568689472683415</v>
      </c>
      <c r="BY69" s="6">
        <f t="shared" si="60"/>
        <v>88.568689472683417</v>
      </c>
      <c r="CB69" s="583">
        <f t="shared" ref="CB69:CB105" si="153">IF(ABS(F69-Ioutmax_Vinnom)&lt;Iout/200, AN69, -50)</f>
        <v>-50</v>
      </c>
      <c r="CC69">
        <f t="shared" ref="CC69:CC105" si="154">IF(ABS(F69-Ioutmax_Vinnom)&lt;Iout/200, N69*BX69, -50)</f>
        <v>-50</v>
      </c>
    </row>
    <row r="70" spans="5:81" x14ac:dyDescent="0.2">
      <c r="E70" s="178">
        <v>65</v>
      </c>
      <c r="F70" s="225">
        <f t="shared" ref="F70:F101" si="155">IF(PLOT_TYPE=1, E70/100*Iout_max, min_I*EXP(N70*rr/100))</f>
        <v>0.19500000000000001</v>
      </c>
      <c r="G70" s="225"/>
      <c r="H70" s="225">
        <f t="shared" si="109"/>
        <v>2.9250000000000003</v>
      </c>
      <c r="I70" s="561">
        <f t="shared" si="110"/>
        <v>12</v>
      </c>
      <c r="J70" s="180">
        <f t="shared" si="111"/>
        <v>15.25</v>
      </c>
      <c r="K70" s="456">
        <f t="shared" si="112"/>
        <v>27.25</v>
      </c>
      <c r="L70" s="456"/>
      <c r="M70" s="225">
        <f t="shared" si="113"/>
        <v>0.55963302752293576</v>
      </c>
      <c r="N70" s="180">
        <f t="shared" si="114"/>
        <v>4.3819266055045869</v>
      </c>
      <c r="O70" s="180">
        <f t="shared" ref="O70:O133" si="156">T70*F70</f>
        <v>2.9250000000000003</v>
      </c>
      <c r="P70" s="225">
        <f t="shared" si="115"/>
        <v>0.29212844036697244</v>
      </c>
      <c r="Q70" s="225">
        <f t="shared" si="116"/>
        <v>15</v>
      </c>
      <c r="R70" s="225">
        <f t="shared" si="117"/>
        <v>0.32458715596330273</v>
      </c>
      <c r="S70" s="180">
        <f t="shared" si="118"/>
        <v>28.259075801446574</v>
      </c>
      <c r="T70" s="180">
        <f t="shared" si="119"/>
        <v>15</v>
      </c>
      <c r="U70" s="225">
        <f t="shared" si="120"/>
        <v>0.96789617486338797</v>
      </c>
      <c r="V70" s="225">
        <f t="shared" si="121"/>
        <v>3.22632058287796</v>
      </c>
      <c r="W70" s="225">
        <f t="shared" si="122"/>
        <v>2.538744065215444</v>
      </c>
      <c r="X70" s="205">
        <f t="shared" si="123"/>
        <v>350</v>
      </c>
      <c r="Y70" s="456">
        <f t="shared" ref="Y70:Y105" si="157">MIN(1/(V70+W70)*1000, 350)</f>
        <v>173.45859258156204</v>
      </c>
      <c r="AA70" s="225">
        <f t="shared" si="124"/>
        <v>0.47968545216251629</v>
      </c>
      <c r="AB70" s="181">
        <f t="shared" si="125"/>
        <v>1.258191349934469</v>
      </c>
      <c r="AC70" s="181">
        <f t="shared" si="126"/>
        <v>0.10561881515504945</v>
      </c>
      <c r="AD70" s="181"/>
      <c r="AE70" s="181">
        <f t="shared" si="127"/>
        <v>0.76065573770491812</v>
      </c>
      <c r="AF70" s="565">
        <f t="shared" si="108"/>
        <v>1767.9845422116528</v>
      </c>
      <c r="AG70" s="548">
        <f t="shared" si="128"/>
        <v>3.8603278688524589E-2</v>
      </c>
      <c r="AI70" s="181">
        <f t="shared" si="129"/>
        <v>0.68703988932507365</v>
      </c>
      <c r="AJ70" s="181">
        <f t="shared" si="130"/>
        <v>0.96789617486338797</v>
      </c>
      <c r="AK70" s="181">
        <f t="shared" si="131"/>
        <v>1.7021453147136207</v>
      </c>
      <c r="AM70" s="565">
        <f t="shared" si="132"/>
        <v>195</v>
      </c>
      <c r="AN70" s="474">
        <f t="shared" si="133"/>
        <v>173.45859258156204</v>
      </c>
      <c r="AP70">
        <f t="shared" si="134"/>
        <v>195</v>
      </c>
      <c r="AQ70">
        <f t="shared" si="135"/>
        <v>173.45859258156204</v>
      </c>
      <c r="AS70" s="6">
        <f t="shared" ref="AS70:AS133" si="158">1/AN70*1000</f>
        <v>5.7650646480934027</v>
      </c>
      <c r="AT70" s="6">
        <f t="shared" si="136"/>
        <v>3.22632058287796</v>
      </c>
      <c r="AU70" s="6">
        <f t="shared" ref="AU70:AU105" si="159">AS70-AT70</f>
        <v>2.5387440652154427</v>
      </c>
      <c r="AV70" s="6">
        <f t="shared" si="137"/>
        <v>2.538744065215444</v>
      </c>
      <c r="AW70" s="181">
        <f t="shared" ref="AW70:AW105" si="160">AT70/AS70</f>
        <v>0.55963302752293587</v>
      </c>
      <c r="AX70" s="181">
        <f t="shared" si="138"/>
        <v>3.2500000000000004</v>
      </c>
      <c r="AY70" s="181">
        <f t="shared" si="139"/>
        <v>0.21311475409836061</v>
      </c>
      <c r="AZ70" s="181">
        <f t="shared" ref="AZ70:AZ133" si="161">AX70/AY70</f>
        <v>15.250000000000005</v>
      </c>
      <c r="BA70" s="474">
        <f t="shared" si="140"/>
        <v>4.1942167577413487</v>
      </c>
      <c r="BB70" s="6">
        <f t="shared" si="141"/>
        <v>1.1459608627708593</v>
      </c>
      <c r="BC70" s="6"/>
      <c r="BD70" s="181">
        <f t="shared" ref="BD70:BD133" si="162">AJ70*SQRT(AW70/3)</f>
        <v>0.41804190169474181</v>
      </c>
      <c r="BE70" s="181">
        <f t="shared" si="142"/>
        <v>0.37083055905966433</v>
      </c>
      <c r="BF70" s="181"/>
      <c r="BG70" s="548">
        <f t="shared" si="143"/>
        <v>6.1165661050394657E-2</v>
      </c>
      <c r="BH70" s="548">
        <f t="shared" si="144"/>
        <v>4.5750000000000013E-2</v>
      </c>
      <c r="BI70" s="548">
        <f t="shared" si="145"/>
        <v>2.1682324072695258E-3</v>
      </c>
      <c r="BJ70" s="548">
        <f t="shared" si="146"/>
        <v>7.4062211538461539E-3</v>
      </c>
      <c r="BK70">
        <f t="shared" si="147"/>
        <v>3.48E-3</v>
      </c>
      <c r="BL70" s="474">
        <f t="shared" ref="BL70:BL105" si="163">SUM(BG70:BK70)*1000</f>
        <v>119.97011461151034</v>
      </c>
      <c r="BM70" s="548">
        <f t="shared" si="148"/>
        <v>6.8249999999999991E-2</v>
      </c>
      <c r="BN70" s="548"/>
      <c r="BP70" s="474">
        <f t="shared" ref="BP70:BP105" si="164">SUM(BM70:BO70)*1000</f>
        <v>68.249999999999986</v>
      </c>
      <c r="BQ70" s="548">
        <f t="shared" si="149"/>
        <v>0</v>
      </c>
      <c r="BR70" s="548">
        <f t="shared" si="150"/>
        <v>0</v>
      </c>
      <c r="BS70" s="548">
        <f t="shared" si="151"/>
        <v>1.8261291279606039E-2</v>
      </c>
      <c r="BT70" s="548">
        <f t="shared" si="152"/>
        <v>0.17062500000000005</v>
      </c>
      <c r="BU70" s="474">
        <f t="shared" ref="BU70:BU105" si="165">SUM(BQ70:BT70)*1000</f>
        <v>188.8862912796061</v>
      </c>
      <c r="BV70" s="181">
        <f t="shared" ref="BV70:BV105" si="166">SUM(BG70:BK70,BM70:BO70,BQ70:BT70)</f>
        <v>0.37710640589111644</v>
      </c>
      <c r="BW70" s="6">
        <f t="shared" ref="BW70:BW105" si="167">MIN(H70,O70)</f>
        <v>2.9250000000000003</v>
      </c>
      <c r="BX70" s="181">
        <f t="shared" ref="BX70:BX105" si="168">BW70/(BW70+BV70)</f>
        <v>0.88579822708973266</v>
      </c>
      <c r="BY70" s="6">
        <f t="shared" ref="BY70:BY105" si="169">BX70*100</f>
        <v>88.579822708973268</v>
      </c>
      <c r="CB70" s="583">
        <f t="shared" si="153"/>
        <v>-50</v>
      </c>
      <c r="CC70">
        <f t="shared" si="154"/>
        <v>-50</v>
      </c>
    </row>
    <row r="71" spans="5:81" x14ac:dyDescent="0.2">
      <c r="E71" s="178">
        <v>66</v>
      </c>
      <c r="F71" s="225">
        <f t="shared" si="155"/>
        <v>0.19800000000000001</v>
      </c>
      <c r="G71" s="225"/>
      <c r="H71" s="225">
        <f t="shared" si="109"/>
        <v>2.97</v>
      </c>
      <c r="I71" s="561">
        <f t="shared" si="110"/>
        <v>12</v>
      </c>
      <c r="J71" s="180">
        <f t="shared" si="111"/>
        <v>15.25</v>
      </c>
      <c r="K71" s="456">
        <f t="shared" si="112"/>
        <v>27.25</v>
      </c>
      <c r="L71" s="456"/>
      <c r="M71" s="225">
        <f t="shared" si="113"/>
        <v>0.55963302752293576</v>
      </c>
      <c r="N71" s="180">
        <f t="shared" si="114"/>
        <v>4.3819266055045869</v>
      </c>
      <c r="O71" s="180">
        <f t="shared" si="156"/>
        <v>2.97</v>
      </c>
      <c r="P71" s="225">
        <f t="shared" si="115"/>
        <v>0.29212844036697244</v>
      </c>
      <c r="Q71" s="225">
        <f t="shared" si="116"/>
        <v>15</v>
      </c>
      <c r="R71" s="225">
        <f t="shared" si="117"/>
        <v>0.32458715596330273</v>
      </c>
      <c r="S71" s="180">
        <f t="shared" si="118"/>
        <v>27.652969982052493</v>
      </c>
      <c r="T71" s="180">
        <f t="shared" si="119"/>
        <v>15</v>
      </c>
      <c r="U71" s="225">
        <f t="shared" si="120"/>
        <v>0.98278688524590163</v>
      </c>
      <c r="V71" s="225">
        <f t="shared" si="121"/>
        <v>3.2759562841530059</v>
      </c>
      <c r="W71" s="225">
        <f t="shared" si="122"/>
        <v>2.5778016662187584</v>
      </c>
      <c r="X71" s="205">
        <f t="shared" si="123"/>
        <v>350</v>
      </c>
      <c r="Y71" s="456">
        <f t="shared" si="157"/>
        <v>170.83043208790198</v>
      </c>
      <c r="AA71" s="225">
        <f t="shared" si="124"/>
        <v>0.47968545216251629</v>
      </c>
      <c r="AB71" s="181">
        <f t="shared" si="125"/>
        <v>1.258191349934469</v>
      </c>
      <c r="AC71" s="181">
        <f t="shared" si="126"/>
        <v>0.10561881515504945</v>
      </c>
      <c r="AD71" s="181"/>
      <c r="AE71" s="181">
        <f t="shared" si="127"/>
        <v>0.76065573770491812</v>
      </c>
      <c r="AF71" s="565">
        <f t="shared" si="108"/>
        <v>1795.1843043995243</v>
      </c>
      <c r="AG71" s="548">
        <f t="shared" si="128"/>
        <v>3.8603278688524589E-2</v>
      </c>
      <c r="AI71" s="181">
        <f t="shared" si="129"/>
        <v>0.69230463979791024</v>
      </c>
      <c r="AJ71" s="181">
        <f t="shared" si="130"/>
        <v>0.98278688524590163</v>
      </c>
      <c r="AK71" s="181">
        <f t="shared" si="131"/>
        <v>1.7131754705525197</v>
      </c>
      <c r="AM71" s="565">
        <f t="shared" si="132"/>
        <v>198</v>
      </c>
      <c r="AN71" s="474">
        <f t="shared" si="133"/>
        <v>170.83043208790198</v>
      </c>
      <c r="AP71">
        <f t="shared" si="134"/>
        <v>198</v>
      </c>
      <c r="AQ71">
        <f t="shared" si="135"/>
        <v>170.83043208790198</v>
      </c>
      <c r="AS71" s="6">
        <f t="shared" si="158"/>
        <v>5.8537579503717643</v>
      </c>
      <c r="AT71" s="6">
        <f t="shared" si="136"/>
        <v>3.2759562841530059</v>
      </c>
      <c r="AU71" s="6">
        <f t="shared" si="159"/>
        <v>2.5778016662187584</v>
      </c>
      <c r="AV71" s="6">
        <f t="shared" si="137"/>
        <v>2.5778016662187584</v>
      </c>
      <c r="AW71" s="181">
        <f t="shared" si="160"/>
        <v>0.55963302752293587</v>
      </c>
      <c r="AX71" s="181">
        <f t="shared" si="138"/>
        <v>3.3</v>
      </c>
      <c r="AY71" s="181">
        <f t="shared" si="139"/>
        <v>0.21639344262295077</v>
      </c>
      <c r="AZ71" s="181">
        <f t="shared" si="161"/>
        <v>15.250000000000004</v>
      </c>
      <c r="BA71" s="474">
        <f t="shared" si="140"/>
        <v>4.3242622950819678</v>
      </c>
      <c r="BB71" s="6">
        <f t="shared" si="141"/>
        <v>1.1814924303502643</v>
      </c>
      <c r="BC71" s="6"/>
      <c r="BD71" s="181">
        <f t="shared" si="162"/>
        <v>0.4244733155669686</v>
      </c>
      <c r="BE71" s="181">
        <f t="shared" si="142"/>
        <v>0.37653564458365918</v>
      </c>
      <c r="BF71" s="181"/>
      <c r="BG71" s="548">
        <f t="shared" si="143"/>
        <v>6.3062158469945354E-2</v>
      </c>
      <c r="BH71" s="548">
        <f t="shared" si="144"/>
        <v>4.5749999999999999E-2</v>
      </c>
      <c r="BI71" s="548">
        <f t="shared" si="145"/>
        <v>2.1353804010987745E-3</v>
      </c>
      <c r="BJ71" s="548">
        <f t="shared" si="146"/>
        <v>7.294005681818181E-3</v>
      </c>
      <c r="BK71">
        <f t="shared" si="147"/>
        <v>3.48E-3</v>
      </c>
      <c r="BL71" s="474">
        <f t="shared" si="163"/>
        <v>121.7215445528623</v>
      </c>
      <c r="BM71" s="548">
        <f t="shared" si="148"/>
        <v>6.93E-2</v>
      </c>
      <c r="BN71" s="548"/>
      <c r="BP71" s="474">
        <f t="shared" si="164"/>
        <v>69.3</v>
      </c>
      <c r="BQ71" s="548">
        <f t="shared" si="149"/>
        <v>0</v>
      </c>
      <c r="BR71" s="548">
        <f t="shared" si="150"/>
        <v>0</v>
      </c>
      <c r="BS71" s="548">
        <f t="shared" si="151"/>
        <v>1.8261291279606049E-2</v>
      </c>
      <c r="BT71" s="548">
        <f t="shared" si="152"/>
        <v>0.17324999999999999</v>
      </c>
      <c r="BU71" s="474">
        <f t="shared" si="165"/>
        <v>191.51129127960604</v>
      </c>
      <c r="BV71" s="181">
        <f t="shared" si="166"/>
        <v>0.38253283583246833</v>
      </c>
      <c r="BW71" s="6">
        <f t="shared" si="167"/>
        <v>2.97</v>
      </c>
      <c r="BX71" s="181">
        <f t="shared" si="168"/>
        <v>0.88589736340718594</v>
      </c>
      <c r="BY71" s="6">
        <f t="shared" si="169"/>
        <v>88.589736340718588</v>
      </c>
      <c r="CB71" s="583">
        <f t="shared" si="153"/>
        <v>-50</v>
      </c>
      <c r="CC71">
        <f t="shared" si="154"/>
        <v>-50</v>
      </c>
    </row>
    <row r="72" spans="5:81" x14ac:dyDescent="0.2">
      <c r="E72" s="178">
        <v>67</v>
      </c>
      <c r="F72" s="225">
        <f t="shared" si="155"/>
        <v>0.20100000000000001</v>
      </c>
      <c r="G72" s="225"/>
      <c r="H72" s="225">
        <f t="shared" si="109"/>
        <v>3.0150000000000001</v>
      </c>
      <c r="I72" s="561">
        <f t="shared" si="110"/>
        <v>12</v>
      </c>
      <c r="J72" s="180">
        <f t="shared" si="111"/>
        <v>15.25</v>
      </c>
      <c r="K72" s="456">
        <f t="shared" si="112"/>
        <v>27.25</v>
      </c>
      <c r="L72" s="456"/>
      <c r="M72" s="225">
        <f t="shared" si="113"/>
        <v>0.55963302752293576</v>
      </c>
      <c r="N72" s="180">
        <f t="shared" si="114"/>
        <v>4.3819266055045869</v>
      </c>
      <c r="O72" s="180">
        <f t="shared" si="156"/>
        <v>3.0150000000000001</v>
      </c>
      <c r="P72" s="225">
        <f t="shared" si="115"/>
        <v>0.29212844036697244</v>
      </c>
      <c r="Q72" s="225">
        <f t="shared" si="116"/>
        <v>15</v>
      </c>
      <c r="R72" s="225">
        <f t="shared" si="117"/>
        <v>0.32458715596330273</v>
      </c>
      <c r="S72" s="180">
        <f t="shared" si="118"/>
        <v>27.065053429630431</v>
      </c>
      <c r="T72" s="180">
        <f t="shared" si="119"/>
        <v>15</v>
      </c>
      <c r="U72" s="225">
        <f t="shared" si="120"/>
        <v>0.99767759562841529</v>
      </c>
      <c r="V72" s="225">
        <f t="shared" si="121"/>
        <v>3.3255919854280509</v>
      </c>
      <c r="W72" s="225">
        <f t="shared" si="122"/>
        <v>2.6168592672220732</v>
      </c>
      <c r="X72" s="205">
        <f t="shared" si="123"/>
        <v>350</v>
      </c>
      <c r="Y72" s="456">
        <f t="shared" si="157"/>
        <v>168.28072414629153</v>
      </c>
      <c r="AA72" s="225">
        <f t="shared" si="124"/>
        <v>0.47968545216251629</v>
      </c>
      <c r="AB72" s="181">
        <f t="shared" si="125"/>
        <v>1.258191349934469</v>
      </c>
      <c r="AC72" s="181">
        <f t="shared" si="126"/>
        <v>0.10561881515504945</v>
      </c>
      <c r="AD72" s="181"/>
      <c r="AE72" s="181">
        <f t="shared" si="127"/>
        <v>0.76065573770491812</v>
      </c>
      <c r="AF72" s="565">
        <f t="shared" ref="AF72:AF103" si="170">MAX(10000,F72/(0.5*AE72/1000000*Isw_min*Nps))/1000</f>
        <v>1822.3840665873959</v>
      </c>
      <c r="AG72" s="548">
        <f t="shared" si="128"/>
        <v>3.8603278688524589E-2</v>
      </c>
      <c r="AI72" s="181">
        <f t="shared" si="129"/>
        <v>0.69752965460087712</v>
      </c>
      <c r="AJ72" s="181">
        <f t="shared" si="130"/>
        <v>0.99767759562841529</v>
      </c>
      <c r="AK72" s="181">
        <f t="shared" si="131"/>
        <v>1.7242056263914187</v>
      </c>
      <c r="AM72" s="565">
        <f t="shared" si="132"/>
        <v>201</v>
      </c>
      <c r="AN72" s="474">
        <f t="shared" si="133"/>
        <v>168.28072414629153</v>
      </c>
      <c r="AP72">
        <f t="shared" si="134"/>
        <v>201</v>
      </c>
      <c r="AQ72">
        <f t="shared" si="135"/>
        <v>168.28072414629153</v>
      </c>
      <c r="AS72" s="6">
        <f t="shared" si="158"/>
        <v>5.9424512526501232</v>
      </c>
      <c r="AT72" s="6">
        <f t="shared" si="136"/>
        <v>3.3255919854280509</v>
      </c>
      <c r="AU72" s="6">
        <f t="shared" si="159"/>
        <v>2.6168592672220723</v>
      </c>
      <c r="AV72" s="6">
        <f t="shared" si="137"/>
        <v>2.6168592672220732</v>
      </c>
      <c r="AW72" s="181">
        <f t="shared" si="160"/>
        <v>0.55963302752293587</v>
      </c>
      <c r="AX72" s="181">
        <f t="shared" si="138"/>
        <v>3.3500000000000005</v>
      </c>
      <c r="AY72" s="181">
        <f t="shared" si="139"/>
        <v>0.21967213114754094</v>
      </c>
      <c r="AZ72" s="181">
        <f t="shared" si="161"/>
        <v>15.250000000000005</v>
      </c>
      <c r="BA72" s="474">
        <f t="shared" si="140"/>
        <v>4.456293260473589</v>
      </c>
      <c r="BB72" s="6">
        <f t="shared" si="141"/>
        <v>1.2175664646102697</v>
      </c>
      <c r="BC72" s="6"/>
      <c r="BD72" s="181">
        <f t="shared" si="162"/>
        <v>0.43090472943919539</v>
      </c>
      <c r="BE72" s="181">
        <f t="shared" si="142"/>
        <v>0.38224073010765403</v>
      </c>
      <c r="BF72" s="181"/>
      <c r="BG72" s="548">
        <f t="shared" si="143"/>
        <v>6.4987610048573161E-2</v>
      </c>
      <c r="BH72" s="548">
        <f t="shared" si="144"/>
        <v>4.5750000000000013E-2</v>
      </c>
      <c r="BI72" s="548">
        <f t="shared" si="145"/>
        <v>2.1035090518286442E-3</v>
      </c>
      <c r="BJ72" s="548">
        <f t="shared" si="146"/>
        <v>7.185139925373135E-3</v>
      </c>
      <c r="BK72">
        <f t="shared" si="147"/>
        <v>3.48E-3</v>
      </c>
      <c r="BL72" s="474">
        <f t="shared" si="163"/>
        <v>123.50625902577494</v>
      </c>
      <c r="BM72" s="548">
        <f t="shared" si="148"/>
        <v>7.0349999999999996E-2</v>
      </c>
      <c r="BN72" s="548"/>
      <c r="BP72" s="474">
        <f t="shared" si="164"/>
        <v>70.349999999999994</v>
      </c>
      <c r="BQ72" s="548">
        <f t="shared" si="149"/>
        <v>0</v>
      </c>
      <c r="BR72" s="548">
        <f t="shared" si="150"/>
        <v>0</v>
      </c>
      <c r="BS72" s="548">
        <f t="shared" si="151"/>
        <v>1.8261291279606039E-2</v>
      </c>
      <c r="BT72" s="548">
        <f t="shared" si="152"/>
        <v>0.17587500000000006</v>
      </c>
      <c r="BU72" s="474">
        <f t="shared" si="165"/>
        <v>194.1362912796061</v>
      </c>
      <c r="BV72" s="181">
        <f t="shared" si="166"/>
        <v>0.38799255030538105</v>
      </c>
      <c r="BW72" s="6">
        <f t="shared" si="167"/>
        <v>3.0150000000000001</v>
      </c>
      <c r="BX72" s="181">
        <f t="shared" si="168"/>
        <v>0.88598489577340889</v>
      </c>
      <c r="BY72" s="6">
        <f t="shared" si="169"/>
        <v>88.598489577340885</v>
      </c>
      <c r="CB72" s="583">
        <f t="shared" si="153"/>
        <v>-50</v>
      </c>
      <c r="CC72">
        <f t="shared" si="154"/>
        <v>-50</v>
      </c>
    </row>
    <row r="73" spans="5:81" x14ac:dyDescent="0.2">
      <c r="E73" s="178">
        <v>68</v>
      </c>
      <c r="F73" s="225">
        <f t="shared" si="155"/>
        <v>0.20400000000000001</v>
      </c>
      <c r="G73" s="225"/>
      <c r="H73" s="225">
        <f t="shared" si="109"/>
        <v>3.06</v>
      </c>
      <c r="I73" s="561">
        <f t="shared" si="110"/>
        <v>12</v>
      </c>
      <c r="J73" s="180">
        <f t="shared" si="111"/>
        <v>15.25</v>
      </c>
      <c r="K73" s="456">
        <f t="shared" si="112"/>
        <v>27.25</v>
      </c>
      <c r="L73" s="456"/>
      <c r="M73" s="225">
        <f t="shared" si="113"/>
        <v>0.55963302752293576</v>
      </c>
      <c r="N73" s="180">
        <f t="shared" si="114"/>
        <v>4.3819266055045869</v>
      </c>
      <c r="O73" s="180">
        <f t="shared" si="156"/>
        <v>3.06</v>
      </c>
      <c r="P73" s="225">
        <f t="shared" si="115"/>
        <v>0.29212844036697244</v>
      </c>
      <c r="Q73" s="225">
        <f t="shared" si="116"/>
        <v>15</v>
      </c>
      <c r="R73" s="225">
        <f t="shared" si="117"/>
        <v>0.32458715596330273</v>
      </c>
      <c r="S73" s="180">
        <f t="shared" si="118"/>
        <v>26.494525430748887</v>
      </c>
      <c r="T73" s="180">
        <f t="shared" si="119"/>
        <v>15</v>
      </c>
      <c r="U73" s="225">
        <f t="shared" si="120"/>
        <v>1.012568306010929</v>
      </c>
      <c r="V73" s="225">
        <f t="shared" si="121"/>
        <v>3.3752276867030968</v>
      </c>
      <c r="W73" s="225">
        <f t="shared" si="122"/>
        <v>2.6559168682253875</v>
      </c>
      <c r="X73" s="205">
        <f t="shared" si="123"/>
        <v>350</v>
      </c>
      <c r="Y73" s="456">
        <f t="shared" si="157"/>
        <v>165.80600761472837</v>
      </c>
      <c r="AA73" s="225">
        <f t="shared" si="124"/>
        <v>0.47968545216251629</v>
      </c>
      <c r="AB73" s="181">
        <f t="shared" si="125"/>
        <v>1.258191349934469</v>
      </c>
      <c r="AC73" s="181">
        <f t="shared" si="126"/>
        <v>0.10561881515504945</v>
      </c>
      <c r="AD73" s="181"/>
      <c r="AE73" s="181">
        <f t="shared" si="127"/>
        <v>0.76065573770491812</v>
      </c>
      <c r="AF73" s="565">
        <f t="shared" si="170"/>
        <v>1849.5838287752676</v>
      </c>
      <c r="AG73" s="548">
        <f t="shared" si="128"/>
        <v>3.8603278688524589E-2</v>
      </c>
      <c r="AI73" s="181">
        <f t="shared" si="129"/>
        <v>0.70271582009338873</v>
      </c>
      <c r="AJ73" s="181">
        <f t="shared" si="130"/>
        <v>1.012568306010929</v>
      </c>
      <c r="AK73" s="181">
        <f t="shared" si="131"/>
        <v>1.7352357822303177</v>
      </c>
      <c r="AM73" s="565">
        <f t="shared" si="132"/>
        <v>204.00000000000003</v>
      </c>
      <c r="AN73" s="474">
        <f t="shared" si="133"/>
        <v>165.80600761472837</v>
      </c>
      <c r="AP73">
        <f t="shared" si="134"/>
        <v>204.00000000000003</v>
      </c>
      <c r="AQ73">
        <f t="shared" si="135"/>
        <v>165.80600761472837</v>
      </c>
      <c r="AS73" s="6">
        <f t="shared" si="158"/>
        <v>6.0311445549284857</v>
      </c>
      <c r="AT73" s="6">
        <f t="shared" si="136"/>
        <v>3.3752276867030968</v>
      </c>
      <c r="AU73" s="6">
        <f t="shared" si="159"/>
        <v>2.6559168682253889</v>
      </c>
      <c r="AV73" s="6">
        <f t="shared" si="137"/>
        <v>2.6559168682253875</v>
      </c>
      <c r="AW73" s="181">
        <f t="shared" si="160"/>
        <v>0.55963302752293564</v>
      </c>
      <c r="AX73" s="181">
        <f t="shared" si="138"/>
        <v>3.4</v>
      </c>
      <c r="AY73" s="181">
        <f t="shared" si="139"/>
        <v>0.22295081967213121</v>
      </c>
      <c r="AZ73" s="181">
        <f t="shared" si="161"/>
        <v>15.249999999999996</v>
      </c>
      <c r="BA73" s="474">
        <f t="shared" si="140"/>
        <v>4.5903096539162123</v>
      </c>
      <c r="BB73" s="6">
        <f t="shared" si="141"/>
        <v>1.2541829655508778</v>
      </c>
      <c r="BC73" s="6"/>
      <c r="BD73" s="181">
        <f t="shared" si="162"/>
        <v>0.43733614331142212</v>
      </c>
      <c r="BE73" s="181">
        <f t="shared" si="142"/>
        <v>0.38794581563164893</v>
      </c>
      <c r="BF73" s="181"/>
      <c r="BG73" s="548">
        <f t="shared" si="143"/>
        <v>6.694201578627805E-2</v>
      </c>
      <c r="BH73" s="548">
        <f t="shared" si="144"/>
        <v>4.5749999999999992E-2</v>
      </c>
      <c r="BI73" s="548">
        <f t="shared" si="145"/>
        <v>2.0725750951841046E-3</v>
      </c>
      <c r="BJ73" s="548">
        <f t="shared" si="146"/>
        <v>7.0794761029411742E-3</v>
      </c>
      <c r="BK73">
        <f t="shared" si="147"/>
        <v>3.48E-3</v>
      </c>
      <c r="BL73" s="474">
        <f t="shared" si="163"/>
        <v>125.32406698440332</v>
      </c>
      <c r="BM73" s="548">
        <f t="shared" si="148"/>
        <v>7.1400000000000005E-2</v>
      </c>
      <c r="BN73" s="548"/>
      <c r="BP73" s="474">
        <f t="shared" si="164"/>
        <v>71.400000000000006</v>
      </c>
      <c r="BQ73" s="548">
        <f t="shared" si="149"/>
        <v>0</v>
      </c>
      <c r="BR73" s="548">
        <f t="shared" si="150"/>
        <v>0</v>
      </c>
      <c r="BS73" s="548">
        <f t="shared" si="151"/>
        <v>1.8261291279606077E-2</v>
      </c>
      <c r="BT73" s="548">
        <f t="shared" si="152"/>
        <v>0.17849999999999996</v>
      </c>
      <c r="BU73" s="474">
        <f t="shared" si="165"/>
        <v>196.76129127960604</v>
      </c>
      <c r="BV73" s="181">
        <f t="shared" si="166"/>
        <v>0.39348535826400932</v>
      </c>
      <c r="BW73" s="6">
        <f t="shared" si="167"/>
        <v>3.06</v>
      </c>
      <c r="BX73" s="181">
        <f t="shared" si="168"/>
        <v>0.88606137931860074</v>
      </c>
      <c r="BY73" s="6">
        <f t="shared" si="169"/>
        <v>88.606137931860076</v>
      </c>
      <c r="CB73" s="583">
        <f t="shared" si="153"/>
        <v>-50</v>
      </c>
      <c r="CC73">
        <f t="shared" si="154"/>
        <v>-50</v>
      </c>
    </row>
    <row r="74" spans="5:81" x14ac:dyDescent="0.2">
      <c r="E74" s="178">
        <v>69</v>
      </c>
      <c r="F74" s="225">
        <f t="shared" si="155"/>
        <v>0.20699999999999999</v>
      </c>
      <c r="G74" s="225"/>
      <c r="H74" s="225">
        <f t="shared" si="109"/>
        <v>3.105</v>
      </c>
      <c r="I74" s="561">
        <f t="shared" si="110"/>
        <v>12</v>
      </c>
      <c r="J74" s="180">
        <f t="shared" si="111"/>
        <v>15.25</v>
      </c>
      <c r="K74" s="456">
        <f t="shared" si="112"/>
        <v>27.25</v>
      </c>
      <c r="L74" s="456"/>
      <c r="M74" s="225">
        <f t="shared" si="113"/>
        <v>0.55963302752293576</v>
      </c>
      <c r="N74" s="180">
        <f t="shared" si="114"/>
        <v>4.3819266055045869</v>
      </c>
      <c r="O74" s="180">
        <f t="shared" si="156"/>
        <v>3.105</v>
      </c>
      <c r="P74" s="225">
        <f t="shared" si="115"/>
        <v>0.29212844036697244</v>
      </c>
      <c r="Q74" s="225">
        <f t="shared" si="116"/>
        <v>15</v>
      </c>
      <c r="R74" s="225">
        <f t="shared" si="117"/>
        <v>0.32458715596330273</v>
      </c>
      <c r="S74" s="180">
        <f t="shared" si="118"/>
        <v>25.94063173080724</v>
      </c>
      <c r="T74" s="180">
        <f t="shared" si="119"/>
        <v>15</v>
      </c>
      <c r="U74" s="225">
        <f t="shared" si="120"/>
        <v>1.0274590163934425</v>
      </c>
      <c r="V74" s="225">
        <f t="shared" si="121"/>
        <v>3.4248633879781418</v>
      </c>
      <c r="W74" s="225">
        <f t="shared" si="122"/>
        <v>2.6949744692287019</v>
      </c>
      <c r="X74" s="205">
        <f t="shared" si="123"/>
        <v>350</v>
      </c>
      <c r="Y74" s="456">
        <f t="shared" si="157"/>
        <v>163.40302199712366</v>
      </c>
      <c r="AA74" s="225">
        <f t="shared" si="124"/>
        <v>0.47968545216251629</v>
      </c>
      <c r="AB74" s="181">
        <f t="shared" si="125"/>
        <v>1.258191349934469</v>
      </c>
      <c r="AC74" s="181">
        <f t="shared" si="126"/>
        <v>0.10561881515504945</v>
      </c>
      <c r="AD74" s="181"/>
      <c r="AE74" s="181">
        <f t="shared" si="127"/>
        <v>0.76065573770491812</v>
      </c>
      <c r="AF74" s="565">
        <f t="shared" si="170"/>
        <v>1876.783590963139</v>
      </c>
      <c r="AG74" s="548">
        <f t="shared" si="128"/>
        <v>3.8603278688524589E-2</v>
      </c>
      <c r="AI74" s="181">
        <f t="shared" si="129"/>
        <v>0.70786399016437362</v>
      </c>
      <c r="AJ74" s="181">
        <f t="shared" si="130"/>
        <v>1.0274590163934425</v>
      </c>
      <c r="AK74" s="181">
        <f t="shared" si="131"/>
        <v>1.7462659380692167</v>
      </c>
      <c r="AM74" s="565">
        <f t="shared" si="132"/>
        <v>207</v>
      </c>
      <c r="AN74" s="474">
        <f t="shared" si="133"/>
        <v>163.40302199712366</v>
      </c>
      <c r="AP74">
        <f t="shared" si="134"/>
        <v>207</v>
      </c>
      <c r="AQ74">
        <f t="shared" si="135"/>
        <v>163.40302199712366</v>
      </c>
      <c r="AS74" s="6">
        <f t="shared" si="158"/>
        <v>6.1198378572068437</v>
      </c>
      <c r="AT74" s="6">
        <f t="shared" si="136"/>
        <v>3.4248633879781418</v>
      </c>
      <c r="AU74" s="6">
        <f t="shared" si="159"/>
        <v>2.6949744692287019</v>
      </c>
      <c r="AV74" s="6">
        <f t="shared" si="137"/>
        <v>2.6949744692287019</v>
      </c>
      <c r="AW74" s="181">
        <f t="shared" si="160"/>
        <v>0.55963302752293576</v>
      </c>
      <c r="AX74" s="181">
        <f t="shared" si="138"/>
        <v>3.4499999999999993</v>
      </c>
      <c r="AY74" s="181">
        <f t="shared" si="139"/>
        <v>0.2262295081967213</v>
      </c>
      <c r="AZ74" s="181">
        <f t="shared" si="161"/>
        <v>15.249999999999998</v>
      </c>
      <c r="BA74" s="474">
        <f t="shared" si="140"/>
        <v>4.726311475409835</v>
      </c>
      <c r="BB74" s="6">
        <f t="shared" si="141"/>
        <v>1.2913419331720859</v>
      </c>
      <c r="BC74" s="6"/>
      <c r="BD74" s="181">
        <f t="shared" si="162"/>
        <v>0.44376755718364891</v>
      </c>
      <c r="BE74" s="181">
        <f t="shared" si="142"/>
        <v>0.39365090115564366</v>
      </c>
      <c r="BF74" s="181"/>
      <c r="BG74" s="548">
        <f t="shared" si="143"/>
        <v>6.8925375683060092E-2</v>
      </c>
      <c r="BH74" s="548">
        <f t="shared" si="144"/>
        <v>4.5749999999999999E-2</v>
      </c>
      <c r="BI74" s="548">
        <f t="shared" si="145"/>
        <v>2.0425377749640457E-3</v>
      </c>
      <c r="BJ74" s="548">
        <f t="shared" si="146"/>
        <v>6.9768750000000004E-3</v>
      </c>
      <c r="BK74">
        <f t="shared" si="147"/>
        <v>3.48E-3</v>
      </c>
      <c r="BL74" s="474">
        <f t="shared" si="163"/>
        <v>127.17478845802415</v>
      </c>
      <c r="BM74" s="548">
        <f t="shared" si="148"/>
        <v>7.2449999999999987E-2</v>
      </c>
      <c r="BN74" s="548"/>
      <c r="BP74" s="474">
        <f t="shared" si="164"/>
        <v>72.449999999999989</v>
      </c>
      <c r="BQ74" s="548">
        <f t="shared" si="149"/>
        <v>0</v>
      </c>
      <c r="BR74" s="548">
        <f t="shared" si="150"/>
        <v>0</v>
      </c>
      <c r="BS74" s="548">
        <f t="shared" si="151"/>
        <v>1.8261291279606056E-2</v>
      </c>
      <c r="BT74" s="548">
        <f t="shared" si="152"/>
        <v>0.18112500000000001</v>
      </c>
      <c r="BU74" s="474">
        <f t="shared" si="165"/>
        <v>199.38629127960604</v>
      </c>
      <c r="BV74" s="181">
        <f t="shared" si="166"/>
        <v>0.39901107973763017</v>
      </c>
      <c r="BW74" s="6">
        <f t="shared" si="167"/>
        <v>3.105</v>
      </c>
      <c r="BX74" s="181">
        <f t="shared" si="168"/>
        <v>0.88612733502900143</v>
      </c>
      <c r="BY74" s="6">
        <f t="shared" si="169"/>
        <v>88.612733502900142</v>
      </c>
      <c r="CB74" s="583">
        <f t="shared" si="153"/>
        <v>-50</v>
      </c>
      <c r="CC74">
        <f t="shared" si="154"/>
        <v>-50</v>
      </c>
    </row>
    <row r="75" spans="5:81" x14ac:dyDescent="0.2">
      <c r="E75" s="178">
        <v>70</v>
      </c>
      <c r="F75" s="225">
        <f t="shared" si="155"/>
        <v>0.21</v>
      </c>
      <c r="G75" s="225"/>
      <c r="H75" s="225">
        <f t="shared" si="109"/>
        <v>3.15</v>
      </c>
      <c r="I75" s="561">
        <f t="shared" si="110"/>
        <v>12</v>
      </c>
      <c r="J75" s="180">
        <f t="shared" si="111"/>
        <v>15.25</v>
      </c>
      <c r="K75" s="456">
        <f t="shared" si="112"/>
        <v>27.25</v>
      </c>
      <c r="L75" s="456"/>
      <c r="M75" s="225">
        <f t="shared" si="113"/>
        <v>0.55963302752293576</v>
      </c>
      <c r="N75" s="180">
        <f t="shared" si="114"/>
        <v>4.3819266055045869</v>
      </c>
      <c r="O75" s="180">
        <f t="shared" si="156"/>
        <v>3.15</v>
      </c>
      <c r="P75" s="225">
        <f t="shared" si="115"/>
        <v>0.29212844036697244</v>
      </c>
      <c r="Q75" s="225">
        <f t="shared" si="116"/>
        <v>15</v>
      </c>
      <c r="R75" s="225">
        <f t="shared" si="117"/>
        <v>0.32458715596330273</v>
      </c>
      <c r="S75" s="180">
        <f t="shared" si="118"/>
        <v>25.402661216664715</v>
      </c>
      <c r="T75" s="180">
        <f t="shared" si="119"/>
        <v>15</v>
      </c>
      <c r="U75" s="225">
        <f t="shared" si="120"/>
        <v>1.0423497267759563</v>
      </c>
      <c r="V75" s="225">
        <f t="shared" si="121"/>
        <v>3.4744990892531877</v>
      </c>
      <c r="W75" s="225">
        <f t="shared" si="122"/>
        <v>2.7340320702320167</v>
      </c>
      <c r="X75" s="205">
        <f t="shared" si="123"/>
        <v>350</v>
      </c>
      <c r="Y75" s="456">
        <f t="shared" si="157"/>
        <v>161.06869311145044</v>
      </c>
      <c r="AA75" s="225">
        <f t="shared" si="124"/>
        <v>0.47968545216251629</v>
      </c>
      <c r="AB75" s="181">
        <f t="shared" si="125"/>
        <v>1.258191349934469</v>
      </c>
      <c r="AC75" s="181">
        <f t="shared" si="126"/>
        <v>0.10561881515504945</v>
      </c>
      <c r="AD75" s="181"/>
      <c r="AE75" s="181">
        <f t="shared" si="127"/>
        <v>0.76065573770491812</v>
      </c>
      <c r="AF75" s="565">
        <f t="shared" si="170"/>
        <v>1903.9833531510105</v>
      </c>
      <c r="AG75" s="548">
        <f t="shared" si="128"/>
        <v>3.8603278688524589E-2</v>
      </c>
      <c r="AI75" s="181">
        <f t="shared" si="129"/>
        <v>0.71297498787358127</v>
      </c>
      <c r="AJ75" s="181">
        <f t="shared" si="130"/>
        <v>1.0423497267759563</v>
      </c>
      <c r="AK75" s="181">
        <f t="shared" si="131"/>
        <v>1.7572960939081157</v>
      </c>
      <c r="AM75" s="565">
        <f t="shared" si="132"/>
        <v>210</v>
      </c>
      <c r="AN75" s="474">
        <f t="shared" si="133"/>
        <v>161.06869311145044</v>
      </c>
      <c r="AP75">
        <f t="shared" si="134"/>
        <v>210</v>
      </c>
      <c r="AQ75">
        <f t="shared" si="135"/>
        <v>161.06869311145044</v>
      </c>
      <c r="AS75" s="6">
        <f t="shared" si="158"/>
        <v>6.2085311594852044</v>
      </c>
      <c r="AT75" s="6">
        <f t="shared" si="136"/>
        <v>3.4744990892531877</v>
      </c>
      <c r="AU75" s="6">
        <f t="shared" si="159"/>
        <v>2.7340320702320167</v>
      </c>
      <c r="AV75" s="6">
        <f t="shared" si="137"/>
        <v>2.7340320702320167</v>
      </c>
      <c r="AW75" s="181">
        <f t="shared" si="160"/>
        <v>0.55963302752293576</v>
      </c>
      <c r="AX75" s="181">
        <f t="shared" si="138"/>
        <v>3.5000000000000004</v>
      </c>
      <c r="AY75" s="181">
        <f t="shared" si="139"/>
        <v>0.22950819672131148</v>
      </c>
      <c r="AZ75" s="181">
        <f t="shared" si="161"/>
        <v>15.250000000000002</v>
      </c>
      <c r="BA75" s="474">
        <f t="shared" si="140"/>
        <v>4.8642987249544625</v>
      </c>
      <c r="BB75" s="6">
        <f t="shared" si="141"/>
        <v>1.3290433674738968</v>
      </c>
      <c r="BC75" s="6"/>
      <c r="BD75" s="181">
        <f t="shared" si="162"/>
        <v>0.45019897105587575</v>
      </c>
      <c r="BE75" s="181">
        <f t="shared" si="142"/>
        <v>0.39935598667963851</v>
      </c>
      <c r="BF75" s="181"/>
      <c r="BG75" s="548">
        <f t="shared" si="143"/>
        <v>7.093768973891923E-2</v>
      </c>
      <c r="BH75" s="548">
        <f t="shared" si="144"/>
        <v>4.5749999999999999E-2</v>
      </c>
      <c r="BI75" s="548">
        <f t="shared" si="145"/>
        <v>2.0133586638931304E-3</v>
      </c>
      <c r="BJ75" s="548">
        <f t="shared" si="146"/>
        <v>6.877205357142856E-3</v>
      </c>
      <c r="BK75">
        <f t="shared" si="147"/>
        <v>3.48E-3</v>
      </c>
      <c r="BL75" s="474">
        <f t="shared" si="163"/>
        <v>129.05825375995522</v>
      </c>
      <c r="BM75" s="548">
        <f t="shared" si="148"/>
        <v>7.3499999999999996E-2</v>
      </c>
      <c r="BN75" s="548"/>
      <c r="BP75" s="474">
        <f t="shared" si="164"/>
        <v>73.5</v>
      </c>
      <c r="BQ75" s="548">
        <f t="shared" si="149"/>
        <v>0</v>
      </c>
      <c r="BR75" s="548">
        <f t="shared" si="150"/>
        <v>0</v>
      </c>
      <c r="BS75" s="548">
        <f t="shared" si="151"/>
        <v>1.826129127960607E-2</v>
      </c>
      <c r="BT75" s="548">
        <f t="shared" si="152"/>
        <v>0.18375</v>
      </c>
      <c r="BU75" s="474">
        <f t="shared" si="165"/>
        <v>202.01129127960607</v>
      </c>
      <c r="BV75" s="181">
        <f t="shared" si="166"/>
        <v>0.40456954503956133</v>
      </c>
      <c r="BW75" s="6">
        <f t="shared" si="167"/>
        <v>3.15</v>
      </c>
      <c r="BX75" s="181">
        <f t="shared" si="168"/>
        <v>0.88618325231415362</v>
      </c>
      <c r="BY75" s="6">
        <f t="shared" si="169"/>
        <v>88.618325231415369</v>
      </c>
      <c r="CB75" s="583">
        <f t="shared" si="153"/>
        <v>-50</v>
      </c>
      <c r="CC75">
        <f t="shared" si="154"/>
        <v>-50</v>
      </c>
    </row>
    <row r="76" spans="5:81" x14ac:dyDescent="0.2">
      <c r="E76" s="178">
        <v>71</v>
      </c>
      <c r="F76" s="225">
        <f t="shared" si="155"/>
        <v>0.21299999999999999</v>
      </c>
      <c r="G76" s="225"/>
      <c r="H76" s="225">
        <f t="shared" si="109"/>
        <v>3.1949999999999998</v>
      </c>
      <c r="I76" s="561">
        <f t="shared" si="110"/>
        <v>12</v>
      </c>
      <c r="J76" s="180">
        <f t="shared" si="111"/>
        <v>15.25</v>
      </c>
      <c r="K76" s="456">
        <f t="shared" si="112"/>
        <v>27.25</v>
      </c>
      <c r="L76" s="456"/>
      <c r="M76" s="225">
        <f t="shared" si="113"/>
        <v>0.55963302752293576</v>
      </c>
      <c r="N76" s="180">
        <f t="shared" si="114"/>
        <v>4.3819266055045869</v>
      </c>
      <c r="O76" s="180">
        <f t="shared" si="156"/>
        <v>3.1949999999999998</v>
      </c>
      <c r="P76" s="225">
        <f t="shared" si="115"/>
        <v>0.29212844036697244</v>
      </c>
      <c r="Q76" s="225">
        <f t="shared" si="116"/>
        <v>15</v>
      </c>
      <c r="R76" s="225">
        <f t="shared" si="117"/>
        <v>0.32458715596330273</v>
      </c>
      <c r="S76" s="180">
        <f t="shared" si="118"/>
        <v>24.879942879644979</v>
      </c>
      <c r="T76" s="180">
        <f t="shared" si="119"/>
        <v>15</v>
      </c>
      <c r="U76" s="225">
        <f t="shared" si="120"/>
        <v>1.0572404371584698</v>
      </c>
      <c r="V76" s="225">
        <f t="shared" si="121"/>
        <v>3.5241347905282332</v>
      </c>
      <c r="W76" s="225">
        <f t="shared" si="122"/>
        <v>2.773089671235331</v>
      </c>
      <c r="X76" s="205">
        <f t="shared" si="123"/>
        <v>350</v>
      </c>
      <c r="Y76" s="456">
        <f t="shared" si="157"/>
        <v>158.80011996903565</v>
      </c>
      <c r="AA76" s="225">
        <f t="shared" si="124"/>
        <v>0.47968545216251629</v>
      </c>
      <c r="AB76" s="181">
        <f t="shared" si="125"/>
        <v>1.258191349934469</v>
      </c>
      <c r="AC76" s="181">
        <f t="shared" si="126"/>
        <v>0.10561881515504945</v>
      </c>
      <c r="AD76" s="181"/>
      <c r="AE76" s="181">
        <f t="shared" si="127"/>
        <v>0.76065573770491812</v>
      </c>
      <c r="AF76" s="565">
        <f t="shared" si="170"/>
        <v>1931.1831153388821</v>
      </c>
      <c r="AG76" s="548">
        <f t="shared" si="128"/>
        <v>3.8603278688524589E-2</v>
      </c>
      <c r="AI76" s="181">
        <f t="shared" si="129"/>
        <v>0.71804960698773324</v>
      </c>
      <c r="AJ76" s="181">
        <f t="shared" si="130"/>
        <v>1.0572404371584698</v>
      </c>
      <c r="AK76" s="181">
        <f t="shared" si="131"/>
        <v>1.7683262497470147</v>
      </c>
      <c r="AM76" s="565">
        <f t="shared" si="132"/>
        <v>213</v>
      </c>
      <c r="AN76" s="474">
        <f t="shared" si="133"/>
        <v>158.80011996903565</v>
      </c>
      <c r="AP76">
        <f t="shared" si="134"/>
        <v>213</v>
      </c>
      <c r="AQ76">
        <f t="shared" si="135"/>
        <v>158.80011996903565</v>
      </c>
      <c r="AS76" s="6">
        <f t="shared" si="158"/>
        <v>6.2972244617635642</v>
      </c>
      <c r="AT76" s="6">
        <f t="shared" si="136"/>
        <v>3.5241347905282332</v>
      </c>
      <c r="AU76" s="6">
        <f t="shared" si="159"/>
        <v>2.773089671235331</v>
      </c>
      <c r="AV76" s="6">
        <f t="shared" si="137"/>
        <v>2.773089671235331</v>
      </c>
      <c r="AW76" s="181">
        <f t="shared" si="160"/>
        <v>0.55963302752293576</v>
      </c>
      <c r="AX76" s="181">
        <f t="shared" si="138"/>
        <v>3.55</v>
      </c>
      <c r="AY76" s="181">
        <f t="shared" si="139"/>
        <v>0.23278688524590163</v>
      </c>
      <c r="AZ76" s="181">
        <f t="shared" si="161"/>
        <v>15.25</v>
      </c>
      <c r="BA76" s="474">
        <f t="shared" si="140"/>
        <v>5.0042714025500912</v>
      </c>
      <c r="BB76" s="6">
        <f t="shared" si="141"/>
        <v>1.3672872684563089</v>
      </c>
      <c r="BC76" s="6"/>
      <c r="BD76" s="181">
        <f t="shared" si="162"/>
        <v>0.45663038492810248</v>
      </c>
      <c r="BE76" s="181">
        <f t="shared" si="142"/>
        <v>0.4050610722036333</v>
      </c>
      <c r="BF76" s="181"/>
      <c r="BG76" s="548">
        <f t="shared" si="143"/>
        <v>7.2978957953855464E-2</v>
      </c>
      <c r="BH76" s="548">
        <f t="shared" si="144"/>
        <v>4.5749999999999992E-2</v>
      </c>
      <c r="BI76" s="548">
        <f t="shared" si="145"/>
        <v>1.9850014996129453E-3</v>
      </c>
      <c r="BJ76" s="548">
        <f t="shared" si="146"/>
        <v>6.7803433098591543E-3</v>
      </c>
      <c r="BK76">
        <f t="shared" si="147"/>
        <v>3.48E-3</v>
      </c>
      <c r="BL76" s="474">
        <f t="shared" si="163"/>
        <v>130.97430276332759</v>
      </c>
      <c r="BM76" s="548">
        <f t="shared" si="148"/>
        <v>7.4549999999999991E-2</v>
      </c>
      <c r="BN76" s="548"/>
      <c r="BP76" s="474">
        <f t="shared" si="164"/>
        <v>74.55</v>
      </c>
      <c r="BQ76" s="548">
        <f t="shared" si="149"/>
        <v>0</v>
      </c>
      <c r="BR76" s="548">
        <f t="shared" si="150"/>
        <v>0</v>
      </c>
      <c r="BS76" s="548">
        <f t="shared" si="151"/>
        <v>1.8261291279606084E-2</v>
      </c>
      <c r="BT76" s="548">
        <f t="shared" si="152"/>
        <v>0.18637499999999999</v>
      </c>
      <c r="BU76" s="474">
        <f t="shared" si="165"/>
        <v>204.63629127960607</v>
      </c>
      <c r="BV76" s="181">
        <f t="shared" si="166"/>
        <v>0.41016059404293359</v>
      </c>
      <c r="BW76" s="6">
        <f t="shared" si="167"/>
        <v>3.1949999999999998</v>
      </c>
      <c r="BX76" s="181">
        <f t="shared" si="168"/>
        <v>0.88622959134728374</v>
      </c>
      <c r="BY76" s="6">
        <f t="shared" si="169"/>
        <v>88.622959134728376</v>
      </c>
      <c r="CB76" s="583">
        <f t="shared" si="153"/>
        <v>-50</v>
      </c>
      <c r="CC76">
        <f t="shared" si="154"/>
        <v>-50</v>
      </c>
    </row>
    <row r="77" spans="5:81" x14ac:dyDescent="0.2">
      <c r="E77" s="178">
        <v>72</v>
      </c>
      <c r="F77" s="225">
        <f t="shared" si="155"/>
        <v>0.216</v>
      </c>
      <c r="G77" s="225"/>
      <c r="H77" s="225">
        <f t="shared" si="109"/>
        <v>3.2399999999999998</v>
      </c>
      <c r="I77" s="561">
        <f t="shared" si="110"/>
        <v>12</v>
      </c>
      <c r="J77" s="180">
        <f t="shared" si="111"/>
        <v>15.25</v>
      </c>
      <c r="K77" s="456">
        <f t="shared" si="112"/>
        <v>27.25</v>
      </c>
      <c r="L77" s="456"/>
      <c r="M77" s="225">
        <f t="shared" si="113"/>
        <v>0.55963302752293576</v>
      </c>
      <c r="N77" s="180">
        <f t="shared" si="114"/>
        <v>4.3819266055045869</v>
      </c>
      <c r="O77" s="180">
        <f t="shared" si="156"/>
        <v>3.2399999999999998</v>
      </c>
      <c r="P77" s="225">
        <f t="shared" si="115"/>
        <v>0.29212844036697244</v>
      </c>
      <c r="Q77" s="225">
        <f t="shared" si="116"/>
        <v>15</v>
      </c>
      <c r="R77" s="225">
        <f t="shared" si="117"/>
        <v>0.32458715596330273</v>
      </c>
      <c r="S77" s="180">
        <f t="shared" si="118"/>
        <v>24.371843031658621</v>
      </c>
      <c r="T77" s="180">
        <f t="shared" si="119"/>
        <v>15</v>
      </c>
      <c r="U77" s="225">
        <f t="shared" si="120"/>
        <v>1.0721311475409834</v>
      </c>
      <c r="V77" s="225">
        <f t="shared" si="121"/>
        <v>3.5737704918032778</v>
      </c>
      <c r="W77" s="225">
        <f t="shared" si="122"/>
        <v>2.8121472722386449</v>
      </c>
      <c r="X77" s="205">
        <f t="shared" si="123"/>
        <v>350</v>
      </c>
      <c r="Y77" s="456">
        <f t="shared" si="157"/>
        <v>156.59456274724354</v>
      </c>
      <c r="AA77" s="225">
        <f t="shared" si="124"/>
        <v>0.47968545216251629</v>
      </c>
      <c r="AB77" s="181">
        <f t="shared" si="125"/>
        <v>1.258191349934469</v>
      </c>
      <c r="AC77" s="181">
        <f t="shared" si="126"/>
        <v>0.10561881515504945</v>
      </c>
      <c r="AD77" s="181"/>
      <c r="AE77" s="181">
        <f t="shared" si="127"/>
        <v>0.76065573770491812</v>
      </c>
      <c r="AF77" s="565">
        <f t="shared" si="170"/>
        <v>1958.3828775267539</v>
      </c>
      <c r="AG77" s="548">
        <f t="shared" si="128"/>
        <v>3.8603278688524589E-2</v>
      </c>
      <c r="AI77" s="181">
        <f t="shared" si="129"/>
        <v>0.72308861341964359</v>
      </c>
      <c r="AJ77" s="181">
        <f t="shared" si="130"/>
        <v>1.0721311475409834</v>
      </c>
      <c r="AK77" s="181">
        <f t="shared" si="131"/>
        <v>1.7793564055859135</v>
      </c>
      <c r="AM77" s="565">
        <f t="shared" si="132"/>
        <v>216</v>
      </c>
      <c r="AN77" s="474">
        <f t="shared" si="133"/>
        <v>156.59456274724354</v>
      </c>
      <c r="AP77">
        <f t="shared" si="134"/>
        <v>216</v>
      </c>
      <c r="AQ77">
        <f t="shared" si="135"/>
        <v>156.59456274724354</v>
      </c>
      <c r="AS77" s="6">
        <f t="shared" si="158"/>
        <v>6.3859177640419222</v>
      </c>
      <c r="AT77" s="6">
        <f t="shared" si="136"/>
        <v>3.5737704918032778</v>
      </c>
      <c r="AU77" s="6">
        <f t="shared" si="159"/>
        <v>2.8121472722386445</v>
      </c>
      <c r="AV77" s="6">
        <f t="shared" si="137"/>
        <v>2.8121472722386449</v>
      </c>
      <c r="AW77" s="181">
        <f t="shared" si="160"/>
        <v>0.55963302752293576</v>
      </c>
      <c r="AX77" s="181">
        <f t="shared" si="138"/>
        <v>3.6</v>
      </c>
      <c r="AY77" s="181">
        <f t="shared" si="139"/>
        <v>0.23606557377049175</v>
      </c>
      <c r="AZ77" s="181">
        <f t="shared" si="161"/>
        <v>15.250000000000004</v>
      </c>
      <c r="BA77" s="474">
        <f t="shared" si="140"/>
        <v>5.1462295081967202</v>
      </c>
      <c r="BB77" s="6">
        <f t="shared" si="141"/>
        <v>1.406073636119322</v>
      </c>
      <c r="BC77" s="6"/>
      <c r="BD77" s="181">
        <f t="shared" si="162"/>
        <v>0.46306179880032927</v>
      </c>
      <c r="BE77" s="181">
        <f t="shared" si="142"/>
        <v>0.41076615772762809</v>
      </c>
      <c r="BF77" s="181"/>
      <c r="BG77" s="548">
        <f t="shared" si="143"/>
        <v>7.5049180327868809E-2</v>
      </c>
      <c r="BH77" s="548">
        <f t="shared" si="144"/>
        <v>4.5749999999999999E-2</v>
      </c>
      <c r="BI77" s="548">
        <f t="shared" si="145"/>
        <v>1.9574320343405441E-3</v>
      </c>
      <c r="BJ77" s="548">
        <f t="shared" si="146"/>
        <v>6.6861718750000016E-3</v>
      </c>
      <c r="BK77">
        <f t="shared" si="147"/>
        <v>3.48E-3</v>
      </c>
      <c r="BL77" s="474">
        <f t="shared" si="163"/>
        <v>132.92278423720936</v>
      </c>
      <c r="BM77" s="548">
        <f t="shared" si="148"/>
        <v>7.5600000000000001E-2</v>
      </c>
      <c r="BN77" s="548"/>
      <c r="BP77" s="474">
        <f t="shared" si="164"/>
        <v>75.599999999999994</v>
      </c>
      <c r="BQ77" s="548">
        <f t="shared" si="149"/>
        <v>0</v>
      </c>
      <c r="BR77" s="548">
        <f t="shared" si="150"/>
        <v>0</v>
      </c>
      <c r="BS77" s="548">
        <f t="shared" si="151"/>
        <v>1.8261291279606059E-2</v>
      </c>
      <c r="BT77" s="548">
        <f t="shared" si="152"/>
        <v>0.18899999999999997</v>
      </c>
      <c r="BU77" s="474">
        <f t="shared" si="165"/>
        <v>207.26129127960601</v>
      </c>
      <c r="BV77" s="181">
        <f t="shared" si="166"/>
        <v>0.4157840755168154</v>
      </c>
      <c r="BW77" s="6">
        <f t="shared" si="167"/>
        <v>3.2399999999999998</v>
      </c>
      <c r="BX77" s="181">
        <f t="shared" si="168"/>
        <v>0.88626678520173918</v>
      </c>
      <c r="BY77" s="6">
        <f t="shared" si="169"/>
        <v>88.626678520173925</v>
      </c>
      <c r="CB77" s="583">
        <f t="shared" si="153"/>
        <v>-50</v>
      </c>
      <c r="CC77">
        <f t="shared" si="154"/>
        <v>-50</v>
      </c>
    </row>
    <row r="78" spans="5:81" x14ac:dyDescent="0.2">
      <c r="E78" s="178">
        <v>73</v>
      </c>
      <c r="F78" s="225">
        <f t="shared" si="155"/>
        <v>0.219</v>
      </c>
      <c r="G78" s="225"/>
      <c r="H78" s="225">
        <f t="shared" si="109"/>
        <v>3.2850000000000001</v>
      </c>
      <c r="I78" s="561">
        <f t="shared" si="110"/>
        <v>12</v>
      </c>
      <c r="J78" s="180">
        <f t="shared" si="111"/>
        <v>15.25</v>
      </c>
      <c r="K78" s="456">
        <f t="shared" si="112"/>
        <v>27.25</v>
      </c>
      <c r="L78" s="456"/>
      <c r="M78" s="225">
        <f t="shared" si="113"/>
        <v>0.55963302752293576</v>
      </c>
      <c r="N78" s="180">
        <f t="shared" si="114"/>
        <v>4.3819266055045869</v>
      </c>
      <c r="O78" s="180">
        <f t="shared" si="156"/>
        <v>3.2850000000000001</v>
      </c>
      <c r="P78" s="225">
        <f t="shared" si="115"/>
        <v>0.29212844036697244</v>
      </c>
      <c r="Q78" s="225">
        <f t="shared" si="116"/>
        <v>15</v>
      </c>
      <c r="R78" s="225">
        <f t="shared" si="117"/>
        <v>0.32458715596330273</v>
      </c>
      <c r="S78" s="180">
        <f t="shared" si="118"/>
        <v>23.87776275017313</v>
      </c>
      <c r="T78" s="180">
        <f t="shared" si="119"/>
        <v>15</v>
      </c>
      <c r="U78" s="225">
        <f t="shared" si="120"/>
        <v>1.0870218579234971</v>
      </c>
      <c r="V78" s="225">
        <f t="shared" si="121"/>
        <v>3.6234061930783241</v>
      </c>
      <c r="W78" s="225">
        <f t="shared" si="122"/>
        <v>2.8512048732419601</v>
      </c>
      <c r="X78" s="205">
        <f t="shared" si="123"/>
        <v>350</v>
      </c>
      <c r="Y78" s="456">
        <f t="shared" si="157"/>
        <v>154.44943175070594</v>
      </c>
      <c r="AA78" s="225">
        <f t="shared" si="124"/>
        <v>0.47968545216251629</v>
      </c>
      <c r="AB78" s="181">
        <f t="shared" si="125"/>
        <v>1.258191349934469</v>
      </c>
      <c r="AC78" s="181">
        <f t="shared" si="126"/>
        <v>0.10561881515504945</v>
      </c>
      <c r="AD78" s="181"/>
      <c r="AE78" s="181">
        <f t="shared" si="127"/>
        <v>0.76065573770491812</v>
      </c>
      <c r="AF78" s="565">
        <f t="shared" si="170"/>
        <v>1985.5826397146254</v>
      </c>
      <c r="AG78" s="548">
        <f t="shared" si="128"/>
        <v>3.8603278688524589E-2</v>
      </c>
      <c r="AI78" s="181">
        <f t="shared" si="129"/>
        <v>0.7280927465776923</v>
      </c>
      <c r="AJ78" s="181">
        <f t="shared" si="130"/>
        <v>1.0870218579234971</v>
      </c>
      <c r="AK78" s="181">
        <f t="shared" si="131"/>
        <v>1.7903865614248127</v>
      </c>
      <c r="AM78" s="565">
        <f t="shared" si="132"/>
        <v>219</v>
      </c>
      <c r="AN78" s="474">
        <f t="shared" si="133"/>
        <v>154.44943175070594</v>
      </c>
      <c r="AP78">
        <f t="shared" si="134"/>
        <v>219</v>
      </c>
      <c r="AQ78">
        <f t="shared" si="135"/>
        <v>154.44943175070594</v>
      </c>
      <c r="AS78" s="6">
        <f t="shared" si="158"/>
        <v>6.4746110663202829</v>
      </c>
      <c r="AT78" s="6">
        <f t="shared" si="136"/>
        <v>3.6234061930783241</v>
      </c>
      <c r="AU78" s="6">
        <f t="shared" si="159"/>
        <v>2.8512048732419588</v>
      </c>
      <c r="AV78" s="6">
        <f t="shared" si="137"/>
        <v>2.8512048732419601</v>
      </c>
      <c r="AW78" s="181">
        <f t="shared" si="160"/>
        <v>0.55963302752293587</v>
      </c>
      <c r="AX78" s="181">
        <f t="shared" si="138"/>
        <v>3.65</v>
      </c>
      <c r="AY78" s="181">
        <f t="shared" si="139"/>
        <v>0.23934426229508191</v>
      </c>
      <c r="AZ78" s="181">
        <f t="shared" si="161"/>
        <v>15.250000000000004</v>
      </c>
      <c r="BA78" s="474">
        <f t="shared" si="140"/>
        <v>5.2901730418943531</v>
      </c>
      <c r="BB78" s="6">
        <f t="shared" si="141"/>
        <v>1.4454024704629371</v>
      </c>
      <c r="BC78" s="6"/>
      <c r="BD78" s="181">
        <f t="shared" si="162"/>
        <v>0.46949321267255617</v>
      </c>
      <c r="BE78" s="181">
        <f t="shared" si="142"/>
        <v>0.41647124325162299</v>
      </c>
      <c r="BF78" s="181"/>
      <c r="BG78" s="548">
        <f t="shared" si="143"/>
        <v>7.7148356860959305E-2</v>
      </c>
      <c r="BH78" s="548">
        <f t="shared" si="144"/>
        <v>4.5749999999999999E-2</v>
      </c>
      <c r="BI78" s="548">
        <f t="shared" si="145"/>
        <v>1.9306178968838241E-3</v>
      </c>
      <c r="BJ78" s="548">
        <f t="shared" si="146"/>
        <v>6.5945804794520562E-3</v>
      </c>
      <c r="BK78">
        <f t="shared" si="147"/>
        <v>3.48E-3</v>
      </c>
      <c r="BL78" s="474">
        <f t="shared" si="163"/>
        <v>134.90355523729519</v>
      </c>
      <c r="BM78" s="548">
        <f t="shared" si="148"/>
        <v>7.6649999999999996E-2</v>
      </c>
      <c r="BN78" s="548"/>
      <c r="BP78" s="474">
        <f t="shared" si="164"/>
        <v>76.649999999999991</v>
      </c>
      <c r="BQ78" s="548">
        <f t="shared" si="149"/>
        <v>0</v>
      </c>
      <c r="BR78" s="548">
        <f t="shared" si="150"/>
        <v>0</v>
      </c>
      <c r="BS78" s="548">
        <f t="shared" si="151"/>
        <v>1.826129127960607E-2</v>
      </c>
      <c r="BT78" s="548">
        <f t="shared" si="152"/>
        <v>0.19162500000000002</v>
      </c>
      <c r="BU78" s="474">
        <f t="shared" si="165"/>
        <v>209.8862912796061</v>
      </c>
      <c r="BV78" s="181">
        <f t="shared" si="166"/>
        <v>0.42143984651690125</v>
      </c>
      <c r="BW78" s="6">
        <f t="shared" si="167"/>
        <v>3.2850000000000001</v>
      </c>
      <c r="BX78" s="181">
        <f t="shared" si="168"/>
        <v>0.88629524180381714</v>
      </c>
      <c r="BY78" s="6">
        <f t="shared" si="169"/>
        <v>88.629524180381708</v>
      </c>
      <c r="CB78" s="583">
        <f t="shared" si="153"/>
        <v>-50</v>
      </c>
      <c r="CC78">
        <f t="shared" si="154"/>
        <v>-50</v>
      </c>
    </row>
    <row r="79" spans="5:81" x14ac:dyDescent="0.2">
      <c r="E79" s="178">
        <v>74</v>
      </c>
      <c r="F79" s="225">
        <f t="shared" si="155"/>
        <v>0.222</v>
      </c>
      <c r="G79" s="225"/>
      <c r="H79" s="225">
        <f t="shared" si="109"/>
        <v>3.33</v>
      </c>
      <c r="I79" s="561">
        <f t="shared" si="110"/>
        <v>12</v>
      </c>
      <c r="J79" s="180">
        <f t="shared" si="111"/>
        <v>15.25</v>
      </c>
      <c r="K79" s="456">
        <f t="shared" si="112"/>
        <v>27.25</v>
      </c>
      <c r="L79" s="456"/>
      <c r="M79" s="225">
        <f t="shared" si="113"/>
        <v>0.55963302752293576</v>
      </c>
      <c r="N79" s="180">
        <f t="shared" si="114"/>
        <v>4.3819266055045869</v>
      </c>
      <c r="O79" s="180">
        <f t="shared" si="156"/>
        <v>3.33</v>
      </c>
      <c r="P79" s="225">
        <f t="shared" si="115"/>
        <v>0.29212844036697244</v>
      </c>
      <c r="Q79" s="225">
        <f t="shared" si="116"/>
        <v>15</v>
      </c>
      <c r="R79" s="225">
        <f t="shared" si="117"/>
        <v>0.32458715596330273</v>
      </c>
      <c r="S79" s="180">
        <f t="shared" si="118"/>
        <v>23.397135530383714</v>
      </c>
      <c r="T79" s="180">
        <f t="shared" si="119"/>
        <v>15</v>
      </c>
      <c r="U79" s="225">
        <f t="shared" si="120"/>
        <v>1.1019125683060109</v>
      </c>
      <c r="V79" s="225">
        <f t="shared" si="121"/>
        <v>3.67304189435337</v>
      </c>
      <c r="W79" s="225">
        <f t="shared" si="122"/>
        <v>2.8902624742452749</v>
      </c>
      <c r="X79" s="205">
        <f t="shared" si="123"/>
        <v>350</v>
      </c>
      <c r="Y79" s="456">
        <f t="shared" si="157"/>
        <v>152.36227726758824</v>
      </c>
      <c r="AA79" s="225">
        <f t="shared" si="124"/>
        <v>0.47968545216251629</v>
      </c>
      <c r="AB79" s="181">
        <f t="shared" si="125"/>
        <v>1.258191349934469</v>
      </c>
      <c r="AC79" s="181">
        <f t="shared" si="126"/>
        <v>0.10561881515504945</v>
      </c>
      <c r="AD79" s="181"/>
      <c r="AE79" s="181">
        <f t="shared" si="127"/>
        <v>0.76065573770491812</v>
      </c>
      <c r="AF79" s="565">
        <f t="shared" si="170"/>
        <v>2012.782401902497</v>
      </c>
      <c r="AG79" s="548">
        <f t="shared" si="128"/>
        <v>3.8603278688524589E-2</v>
      </c>
      <c r="AI79" s="181">
        <f t="shared" si="129"/>
        <v>0.73306272063238387</v>
      </c>
      <c r="AJ79" s="181">
        <f t="shared" si="130"/>
        <v>1.1019125683060109</v>
      </c>
      <c r="AK79" s="181">
        <f t="shared" si="131"/>
        <v>1.8014167172637117</v>
      </c>
      <c r="AM79" s="565">
        <f t="shared" si="132"/>
        <v>222</v>
      </c>
      <c r="AN79" s="474">
        <f t="shared" si="133"/>
        <v>152.36227726758824</v>
      </c>
      <c r="AP79">
        <f t="shared" si="134"/>
        <v>222</v>
      </c>
      <c r="AQ79">
        <f t="shared" si="135"/>
        <v>152.36227726758824</v>
      </c>
      <c r="AS79" s="6">
        <f t="shared" si="158"/>
        <v>6.5633043685986454</v>
      </c>
      <c r="AT79" s="6">
        <f t="shared" si="136"/>
        <v>3.67304189435337</v>
      </c>
      <c r="AU79" s="6">
        <f t="shared" si="159"/>
        <v>2.8902624742452754</v>
      </c>
      <c r="AV79" s="6">
        <f t="shared" si="137"/>
        <v>2.8902624742452749</v>
      </c>
      <c r="AW79" s="181">
        <f t="shared" si="160"/>
        <v>0.55963302752293576</v>
      </c>
      <c r="AX79" s="181">
        <f t="shared" si="138"/>
        <v>3.6999999999999993</v>
      </c>
      <c r="AY79" s="181">
        <f t="shared" si="139"/>
        <v>0.24262295081967214</v>
      </c>
      <c r="AZ79" s="181">
        <f t="shared" si="161"/>
        <v>15.249999999999996</v>
      </c>
      <c r="BA79" s="474">
        <f t="shared" si="140"/>
        <v>5.4361020036429881</v>
      </c>
      <c r="BB79" s="6">
        <f t="shared" si="141"/>
        <v>1.4852737714871553</v>
      </c>
      <c r="BC79" s="6"/>
      <c r="BD79" s="181">
        <f t="shared" si="162"/>
        <v>0.47592462654478296</v>
      </c>
      <c r="BE79" s="181">
        <f t="shared" si="142"/>
        <v>0.42217632877561784</v>
      </c>
      <c r="BF79" s="181"/>
      <c r="BG79" s="548">
        <f t="shared" si="143"/>
        <v>7.9276487553126884E-2</v>
      </c>
      <c r="BH79" s="548">
        <f t="shared" si="144"/>
        <v>4.5749999999999992E-2</v>
      </c>
      <c r="BI79" s="548">
        <f t="shared" si="145"/>
        <v>1.9045284658448529E-3</v>
      </c>
      <c r="BJ79" s="548">
        <f t="shared" si="146"/>
        <v>6.5054645270270261E-3</v>
      </c>
      <c r="BK79">
        <f t="shared" si="147"/>
        <v>3.48E-3</v>
      </c>
      <c r="BL79" s="474">
        <f t="shared" si="163"/>
        <v>136.91648054599875</v>
      </c>
      <c r="BM79" s="548">
        <f t="shared" si="148"/>
        <v>7.7699999999999991E-2</v>
      </c>
      <c r="BN79" s="548"/>
      <c r="BP79" s="474">
        <f t="shared" si="164"/>
        <v>77.699999999999989</v>
      </c>
      <c r="BQ79" s="548">
        <f t="shared" si="149"/>
        <v>0</v>
      </c>
      <c r="BR79" s="548">
        <f t="shared" si="150"/>
        <v>0</v>
      </c>
      <c r="BS79" s="548">
        <f t="shared" si="151"/>
        <v>1.8261291279606039E-2</v>
      </c>
      <c r="BT79" s="548">
        <f t="shared" si="152"/>
        <v>0.19424999999999995</v>
      </c>
      <c r="BU79" s="474">
        <f t="shared" si="165"/>
        <v>212.51129127960598</v>
      </c>
      <c r="BV79" s="181">
        <f t="shared" si="166"/>
        <v>0.42712777182560474</v>
      </c>
      <c r="BW79" s="6">
        <f t="shared" si="167"/>
        <v>3.33</v>
      </c>
      <c r="BX79" s="181">
        <f t="shared" si="168"/>
        <v>0.88631534572004678</v>
      </c>
      <c r="BY79" s="6">
        <f t="shared" si="169"/>
        <v>88.631534572004682</v>
      </c>
      <c r="CB79" s="583">
        <f t="shared" si="153"/>
        <v>-50</v>
      </c>
      <c r="CC79">
        <f t="shared" si="154"/>
        <v>-50</v>
      </c>
    </row>
    <row r="80" spans="5:81" x14ac:dyDescent="0.2">
      <c r="E80" s="178">
        <v>75</v>
      </c>
      <c r="F80" s="225">
        <f t="shared" si="155"/>
        <v>0.22499999999999998</v>
      </c>
      <c r="G80" s="225"/>
      <c r="H80" s="225">
        <f t="shared" si="109"/>
        <v>3.3749999999999996</v>
      </c>
      <c r="I80" s="561">
        <f t="shared" si="110"/>
        <v>12</v>
      </c>
      <c r="J80" s="180">
        <f t="shared" si="111"/>
        <v>15.25</v>
      </c>
      <c r="K80" s="456">
        <f t="shared" si="112"/>
        <v>27.25</v>
      </c>
      <c r="L80" s="456"/>
      <c r="M80" s="225">
        <f t="shared" si="113"/>
        <v>0.55963302752293576</v>
      </c>
      <c r="N80" s="180">
        <f t="shared" si="114"/>
        <v>4.3819266055045869</v>
      </c>
      <c r="O80" s="180">
        <f t="shared" si="156"/>
        <v>3.3749999999999996</v>
      </c>
      <c r="P80" s="225">
        <f t="shared" si="115"/>
        <v>0.29212844036697244</v>
      </c>
      <c r="Q80" s="225">
        <f t="shared" si="116"/>
        <v>15</v>
      </c>
      <c r="R80" s="225">
        <f t="shared" si="117"/>
        <v>0.32458715596330273</v>
      </c>
      <c r="S80" s="180">
        <f t="shared" si="118"/>
        <v>22.929425125247494</v>
      </c>
      <c r="T80" s="180">
        <f t="shared" si="119"/>
        <v>15</v>
      </c>
      <c r="U80" s="225">
        <f t="shared" si="120"/>
        <v>1.1168032786885245</v>
      </c>
      <c r="V80" s="225">
        <f t="shared" si="121"/>
        <v>3.722677595628415</v>
      </c>
      <c r="W80" s="225">
        <f t="shared" si="122"/>
        <v>2.9293200752485893</v>
      </c>
      <c r="X80" s="205">
        <f t="shared" si="123"/>
        <v>350</v>
      </c>
      <c r="Y80" s="456">
        <f t="shared" si="157"/>
        <v>150.33078023735376</v>
      </c>
      <c r="AA80" s="225">
        <f t="shared" si="124"/>
        <v>0.47968545216251629</v>
      </c>
      <c r="AB80" s="181">
        <f t="shared" si="125"/>
        <v>1.258191349934469</v>
      </c>
      <c r="AC80" s="181">
        <f t="shared" si="126"/>
        <v>0.10561881515504945</v>
      </c>
      <c r="AD80" s="181"/>
      <c r="AE80" s="181">
        <f t="shared" si="127"/>
        <v>0.76065573770491812</v>
      </c>
      <c r="AF80" s="565">
        <f t="shared" si="170"/>
        <v>2039.9821640903685</v>
      </c>
      <c r="AG80" s="548">
        <f t="shared" si="128"/>
        <v>3.8603278688524589E-2</v>
      </c>
      <c r="AI80" s="181">
        <f t="shared" si="129"/>
        <v>0.73799922570613652</v>
      </c>
      <c r="AJ80" s="181">
        <f t="shared" si="130"/>
        <v>1.1168032786885245</v>
      </c>
      <c r="AK80" s="181">
        <f t="shared" si="131"/>
        <v>1.8124468731026107</v>
      </c>
      <c r="AM80" s="565">
        <f t="shared" si="132"/>
        <v>224.99999999999997</v>
      </c>
      <c r="AN80" s="474">
        <f t="shared" si="133"/>
        <v>150.33078023735376</v>
      </c>
      <c r="AP80">
        <f t="shared" si="134"/>
        <v>224.99999999999997</v>
      </c>
      <c r="AQ80">
        <f t="shared" si="135"/>
        <v>150.33078023735376</v>
      </c>
      <c r="AS80" s="6">
        <f t="shared" si="158"/>
        <v>6.6519976708770043</v>
      </c>
      <c r="AT80" s="6">
        <f t="shared" si="136"/>
        <v>3.722677595628415</v>
      </c>
      <c r="AU80" s="6">
        <f t="shared" si="159"/>
        <v>2.9293200752485893</v>
      </c>
      <c r="AV80" s="6">
        <f t="shared" si="137"/>
        <v>2.9293200752485893</v>
      </c>
      <c r="AW80" s="181">
        <f t="shared" si="160"/>
        <v>0.55963302752293576</v>
      </c>
      <c r="AX80" s="181">
        <f t="shared" si="138"/>
        <v>3.7499999999999996</v>
      </c>
      <c r="AY80" s="181">
        <f t="shared" si="139"/>
        <v>0.24590163934426229</v>
      </c>
      <c r="AZ80" s="181">
        <f t="shared" si="161"/>
        <v>15.249999999999998</v>
      </c>
      <c r="BA80" s="474">
        <f t="shared" si="140"/>
        <v>5.5840163934426217</v>
      </c>
      <c r="BB80" s="6">
        <f t="shared" si="141"/>
        <v>1.5256875391919731</v>
      </c>
      <c r="BC80" s="6"/>
      <c r="BD80" s="181">
        <f t="shared" si="162"/>
        <v>0.48235604041700969</v>
      </c>
      <c r="BE80" s="181">
        <f t="shared" si="142"/>
        <v>0.42788141429961268</v>
      </c>
      <c r="BF80" s="181"/>
      <c r="BG80" s="548">
        <f t="shared" si="143"/>
        <v>8.143357240437156E-2</v>
      </c>
      <c r="BH80" s="548">
        <f t="shared" si="144"/>
        <v>4.5749999999999999E-2</v>
      </c>
      <c r="BI80" s="548">
        <f t="shared" si="145"/>
        <v>1.8791347529669221E-3</v>
      </c>
      <c r="BJ80" s="548">
        <f t="shared" si="146"/>
        <v>6.4187250000000001E-3</v>
      </c>
      <c r="BK80">
        <f t="shared" si="147"/>
        <v>3.48E-3</v>
      </c>
      <c r="BL80" s="474">
        <f t="shared" si="163"/>
        <v>138.96143215733849</v>
      </c>
      <c r="BM80" s="548">
        <f t="shared" si="148"/>
        <v>7.8749999999999987E-2</v>
      </c>
      <c r="BN80" s="548"/>
      <c r="BP80" s="474">
        <f t="shared" si="164"/>
        <v>78.749999999999986</v>
      </c>
      <c r="BQ80" s="548">
        <f t="shared" si="149"/>
        <v>0</v>
      </c>
      <c r="BR80" s="548">
        <f t="shared" si="150"/>
        <v>0</v>
      </c>
      <c r="BS80" s="548">
        <f t="shared" si="151"/>
        <v>1.8261291279606021E-2</v>
      </c>
      <c r="BT80" s="548">
        <f t="shared" si="152"/>
        <v>0.19687499999999997</v>
      </c>
      <c r="BU80" s="474">
        <f t="shared" si="165"/>
        <v>215.13629127960598</v>
      </c>
      <c r="BV80" s="181">
        <f t="shared" si="166"/>
        <v>0.43284772343694444</v>
      </c>
      <c r="BW80" s="6">
        <f t="shared" si="167"/>
        <v>3.3749999999999996</v>
      </c>
      <c r="BX80" s="181">
        <f t="shared" si="168"/>
        <v>0.88632745979498928</v>
      </c>
      <c r="BY80" s="6">
        <f t="shared" si="169"/>
        <v>88.632745979498935</v>
      </c>
      <c r="CB80" s="583">
        <f t="shared" si="153"/>
        <v>-50</v>
      </c>
      <c r="CC80">
        <f t="shared" si="154"/>
        <v>-50</v>
      </c>
    </row>
    <row r="81" spans="5:81" x14ac:dyDescent="0.2">
      <c r="E81" s="178">
        <v>76</v>
      </c>
      <c r="F81" s="225">
        <f t="shared" si="155"/>
        <v>0.22799999999999998</v>
      </c>
      <c r="G81" s="225"/>
      <c r="H81" s="225">
        <f t="shared" si="109"/>
        <v>3.42</v>
      </c>
      <c r="I81" s="561">
        <f t="shared" si="110"/>
        <v>12</v>
      </c>
      <c r="J81" s="180">
        <f t="shared" si="111"/>
        <v>15.25</v>
      </c>
      <c r="K81" s="456">
        <f t="shared" si="112"/>
        <v>27.25</v>
      </c>
      <c r="L81" s="456"/>
      <c r="M81" s="225">
        <f t="shared" si="113"/>
        <v>0.55963302752293576</v>
      </c>
      <c r="N81" s="180">
        <f t="shared" si="114"/>
        <v>4.3819266055045869</v>
      </c>
      <c r="O81" s="180">
        <f t="shared" si="156"/>
        <v>3.42</v>
      </c>
      <c r="P81" s="225">
        <f t="shared" si="115"/>
        <v>0.29212844036697244</v>
      </c>
      <c r="Q81" s="225">
        <f t="shared" si="116"/>
        <v>15</v>
      </c>
      <c r="R81" s="225">
        <f t="shared" si="117"/>
        <v>0.32458715596330273</v>
      </c>
      <c r="S81" s="180">
        <f t="shared" si="118"/>
        <v>22.474123556078922</v>
      </c>
      <c r="T81" s="180">
        <f t="shared" si="119"/>
        <v>15</v>
      </c>
      <c r="U81" s="225">
        <f t="shared" si="120"/>
        <v>1.1316939890710382</v>
      </c>
      <c r="V81" s="225">
        <f t="shared" si="121"/>
        <v>3.7723132969034614</v>
      </c>
      <c r="W81" s="225">
        <f t="shared" si="122"/>
        <v>2.9683776762519041</v>
      </c>
      <c r="X81" s="205">
        <f t="shared" si="123"/>
        <v>350</v>
      </c>
      <c r="Y81" s="456">
        <f t="shared" si="157"/>
        <v>148.35274365528332</v>
      </c>
      <c r="AA81" s="225">
        <f t="shared" si="124"/>
        <v>0.47968545216251629</v>
      </c>
      <c r="AB81" s="181">
        <f t="shared" si="125"/>
        <v>1.258191349934469</v>
      </c>
      <c r="AC81" s="181">
        <f t="shared" si="126"/>
        <v>0.10561881515504945</v>
      </c>
      <c r="AD81" s="181"/>
      <c r="AE81" s="181">
        <f t="shared" si="127"/>
        <v>0.76065573770491812</v>
      </c>
      <c r="AF81" s="565">
        <f t="shared" si="170"/>
        <v>2067.1819262782401</v>
      </c>
      <c r="AG81" s="548">
        <f t="shared" si="128"/>
        <v>3.8603278688524589E-2</v>
      </c>
      <c r="AI81" s="181">
        <f t="shared" si="129"/>
        <v>0.74290292899191201</v>
      </c>
      <c r="AJ81" s="181">
        <f t="shared" si="130"/>
        <v>1.1316939890710382</v>
      </c>
      <c r="AK81" s="181">
        <f t="shared" si="131"/>
        <v>1.8234770289415096</v>
      </c>
      <c r="AM81" s="565">
        <f t="shared" si="132"/>
        <v>227.99999999999997</v>
      </c>
      <c r="AN81" s="474">
        <f t="shared" si="133"/>
        <v>148.35274365528332</v>
      </c>
      <c r="AP81">
        <f t="shared" si="134"/>
        <v>227.99999999999997</v>
      </c>
      <c r="AQ81">
        <f t="shared" si="135"/>
        <v>148.35274365528332</v>
      </c>
      <c r="AS81" s="6">
        <f t="shared" si="158"/>
        <v>6.7406909731553641</v>
      </c>
      <c r="AT81" s="6">
        <f t="shared" si="136"/>
        <v>3.7723132969034614</v>
      </c>
      <c r="AU81" s="6">
        <f t="shared" si="159"/>
        <v>2.9683776762519027</v>
      </c>
      <c r="AV81" s="6">
        <f t="shared" si="137"/>
        <v>2.9683776762519041</v>
      </c>
      <c r="AW81" s="181">
        <f t="shared" si="160"/>
        <v>0.55963302752293587</v>
      </c>
      <c r="AX81" s="181">
        <f t="shared" si="138"/>
        <v>3.8</v>
      </c>
      <c r="AY81" s="181">
        <f t="shared" si="139"/>
        <v>0.24918032786885241</v>
      </c>
      <c r="AZ81" s="181">
        <f t="shared" si="161"/>
        <v>15.250000000000002</v>
      </c>
      <c r="BA81" s="474">
        <f t="shared" si="140"/>
        <v>5.7339162112932609</v>
      </c>
      <c r="BB81" s="6">
        <f t="shared" si="141"/>
        <v>1.5666437735773928</v>
      </c>
      <c r="BC81" s="6"/>
      <c r="BD81" s="181">
        <f t="shared" si="162"/>
        <v>0.48878745428923659</v>
      </c>
      <c r="BE81" s="181">
        <f t="shared" si="142"/>
        <v>0.43358649982360753</v>
      </c>
      <c r="BF81" s="181"/>
      <c r="BG81" s="548">
        <f t="shared" si="143"/>
        <v>8.3619611414693387E-2</v>
      </c>
      <c r="BH81" s="548">
        <f t="shared" si="144"/>
        <v>4.5749999999999999E-2</v>
      </c>
      <c r="BI81" s="548">
        <f t="shared" si="145"/>
        <v>1.8544092956910413E-3</v>
      </c>
      <c r="BJ81" s="548">
        <f t="shared" si="146"/>
        <v>6.3342680921052632E-3</v>
      </c>
      <c r="BK81">
        <f t="shared" si="147"/>
        <v>3.48E-3</v>
      </c>
      <c r="BL81" s="474">
        <f t="shared" si="163"/>
        <v>141.03828880248969</v>
      </c>
      <c r="BM81" s="548">
        <f t="shared" si="148"/>
        <v>7.9799999999999982E-2</v>
      </c>
      <c r="BN81" s="548"/>
      <c r="BP81" s="474">
        <f t="shared" si="164"/>
        <v>79.799999999999983</v>
      </c>
      <c r="BQ81" s="548">
        <f t="shared" si="149"/>
        <v>0</v>
      </c>
      <c r="BR81" s="548">
        <f t="shared" si="150"/>
        <v>0</v>
      </c>
      <c r="BS81" s="548">
        <f t="shared" si="151"/>
        <v>1.8261291279606066E-2</v>
      </c>
      <c r="BT81" s="548">
        <f t="shared" si="152"/>
        <v>0.19950000000000001</v>
      </c>
      <c r="BU81" s="474">
        <f t="shared" si="165"/>
        <v>217.7612912796061</v>
      </c>
      <c r="BV81" s="181">
        <f t="shared" si="166"/>
        <v>0.43859958008209576</v>
      </c>
      <c r="BW81" s="6">
        <f t="shared" si="167"/>
        <v>3.42</v>
      </c>
      <c r="BX81" s="181">
        <f t="shared" si="168"/>
        <v>0.88633192665387583</v>
      </c>
      <c r="BY81" s="6">
        <f t="shared" si="169"/>
        <v>88.633192665387583</v>
      </c>
      <c r="CB81" s="583">
        <f t="shared" si="153"/>
        <v>-50</v>
      </c>
      <c r="CC81">
        <f t="shared" si="154"/>
        <v>-50</v>
      </c>
    </row>
    <row r="82" spans="5:81" x14ac:dyDescent="0.2">
      <c r="E82" s="178">
        <v>77</v>
      </c>
      <c r="F82" s="225">
        <f t="shared" si="155"/>
        <v>0.23099999999999998</v>
      </c>
      <c r="G82" s="225"/>
      <c r="H82" s="225">
        <f t="shared" si="109"/>
        <v>3.4649999999999999</v>
      </c>
      <c r="I82" s="561">
        <f t="shared" si="110"/>
        <v>12</v>
      </c>
      <c r="J82" s="180">
        <f t="shared" si="111"/>
        <v>15.25</v>
      </c>
      <c r="K82" s="456">
        <f t="shared" si="112"/>
        <v>27.25</v>
      </c>
      <c r="L82" s="456"/>
      <c r="M82" s="225">
        <f t="shared" si="113"/>
        <v>0.55963302752293576</v>
      </c>
      <c r="N82" s="180">
        <f t="shared" si="114"/>
        <v>4.3819266055045869</v>
      </c>
      <c r="O82" s="180">
        <f t="shared" si="156"/>
        <v>3.4649999999999999</v>
      </c>
      <c r="P82" s="225">
        <f t="shared" si="115"/>
        <v>0.29212844036697244</v>
      </c>
      <c r="Q82" s="225">
        <f t="shared" si="116"/>
        <v>15</v>
      </c>
      <c r="R82" s="225">
        <f t="shared" si="117"/>
        <v>0.32458715596330273</v>
      </c>
      <c r="S82" s="180">
        <f t="shared" si="118"/>
        <v>22.030749278202197</v>
      </c>
      <c r="T82" s="180">
        <f t="shared" si="119"/>
        <v>15</v>
      </c>
      <c r="U82" s="225">
        <f t="shared" si="120"/>
        <v>1.1465846994535518</v>
      </c>
      <c r="V82" s="225">
        <f t="shared" si="121"/>
        <v>3.821948998178506</v>
      </c>
      <c r="W82" s="225">
        <f t="shared" si="122"/>
        <v>3.007435277255218</v>
      </c>
      <c r="X82" s="205">
        <f t="shared" si="123"/>
        <v>350</v>
      </c>
      <c r="Y82" s="456">
        <f t="shared" si="157"/>
        <v>146.42608464677315</v>
      </c>
      <c r="AA82" s="225">
        <f t="shared" si="124"/>
        <v>0.47968545216251629</v>
      </c>
      <c r="AB82" s="181">
        <f t="shared" si="125"/>
        <v>1.258191349934469</v>
      </c>
      <c r="AC82" s="181">
        <f t="shared" si="126"/>
        <v>0.10561881515504945</v>
      </c>
      <c r="AD82" s="181"/>
      <c r="AE82" s="181">
        <f t="shared" si="127"/>
        <v>0.76065573770491812</v>
      </c>
      <c r="AF82" s="565">
        <f t="shared" si="170"/>
        <v>2094.3816884661119</v>
      </c>
      <c r="AG82" s="548">
        <f t="shared" si="128"/>
        <v>3.8603278688524589E-2</v>
      </c>
      <c r="AI82" s="181">
        <f t="shared" si="129"/>
        <v>0.74777447580581846</v>
      </c>
      <c r="AJ82" s="181">
        <f t="shared" si="130"/>
        <v>1.1465846994535518</v>
      </c>
      <c r="AK82" s="181">
        <f t="shared" si="131"/>
        <v>1.8345071847804086</v>
      </c>
      <c r="AM82" s="565">
        <f t="shared" si="132"/>
        <v>230.99999999999997</v>
      </c>
      <c r="AN82" s="474">
        <f t="shared" si="133"/>
        <v>146.42608464677315</v>
      </c>
      <c r="AP82">
        <f t="shared" si="134"/>
        <v>230.99999999999997</v>
      </c>
      <c r="AQ82">
        <f t="shared" si="135"/>
        <v>146.42608464677315</v>
      </c>
      <c r="AS82" s="6">
        <f t="shared" si="158"/>
        <v>6.8293842754337248</v>
      </c>
      <c r="AT82" s="6">
        <f t="shared" si="136"/>
        <v>3.821948998178506</v>
      </c>
      <c r="AU82" s="6">
        <f t="shared" si="159"/>
        <v>3.0074352772552189</v>
      </c>
      <c r="AV82" s="6">
        <f t="shared" si="137"/>
        <v>3.007435277255218</v>
      </c>
      <c r="AW82" s="181">
        <f t="shared" si="160"/>
        <v>0.55963302752293564</v>
      </c>
      <c r="AX82" s="181">
        <f t="shared" si="138"/>
        <v>3.8499999999999996</v>
      </c>
      <c r="AY82" s="181">
        <f t="shared" si="139"/>
        <v>0.25245901639344265</v>
      </c>
      <c r="AZ82" s="181">
        <f t="shared" si="161"/>
        <v>15.249999999999996</v>
      </c>
      <c r="BA82" s="474">
        <f t="shared" si="140"/>
        <v>5.8858014571948996</v>
      </c>
      <c r="BB82" s="6">
        <f t="shared" si="141"/>
        <v>1.6081424746434152</v>
      </c>
      <c r="BC82" s="6"/>
      <c r="BD82" s="181">
        <f t="shared" si="162"/>
        <v>0.49521886816146321</v>
      </c>
      <c r="BE82" s="181">
        <f t="shared" si="142"/>
        <v>0.43929158534760238</v>
      </c>
      <c r="BF82" s="181"/>
      <c r="BG82" s="548">
        <f t="shared" si="143"/>
        <v>8.5834604584092228E-2</v>
      </c>
      <c r="BH82" s="548">
        <f t="shared" si="144"/>
        <v>4.5749999999999999E-2</v>
      </c>
      <c r="BI82" s="548">
        <f t="shared" si="145"/>
        <v>1.8303260580846642E-3</v>
      </c>
      <c r="BJ82" s="548">
        <f t="shared" si="146"/>
        <v>6.2520048701298703E-3</v>
      </c>
      <c r="BK82">
        <f t="shared" si="147"/>
        <v>3.48E-3</v>
      </c>
      <c r="BL82" s="474">
        <f t="shared" si="163"/>
        <v>143.14693551230675</v>
      </c>
      <c r="BM82" s="548">
        <f t="shared" si="148"/>
        <v>8.0849999999999991E-2</v>
      </c>
      <c r="BN82" s="548"/>
      <c r="BP82" s="474">
        <f t="shared" si="164"/>
        <v>80.849999999999994</v>
      </c>
      <c r="BQ82" s="548">
        <f t="shared" si="149"/>
        <v>0</v>
      </c>
      <c r="BR82" s="548">
        <f t="shared" si="150"/>
        <v>0</v>
      </c>
      <c r="BS82" s="548">
        <f t="shared" si="151"/>
        <v>1.8261291279606063E-2</v>
      </c>
      <c r="BT82" s="548">
        <f t="shared" si="152"/>
        <v>0.202125</v>
      </c>
      <c r="BU82" s="474">
        <f t="shared" si="165"/>
        <v>220.38629127960607</v>
      </c>
      <c r="BV82" s="181">
        <f t="shared" si="166"/>
        <v>0.44438322679191283</v>
      </c>
      <c r="BW82" s="6">
        <f t="shared" si="167"/>
        <v>3.4649999999999999</v>
      </c>
      <c r="BX82" s="181">
        <f t="shared" si="168"/>
        <v>0.88632907008285822</v>
      </c>
      <c r="BY82" s="6">
        <f t="shared" si="169"/>
        <v>88.632907008285827</v>
      </c>
      <c r="CB82" s="583">
        <f t="shared" si="153"/>
        <v>-50</v>
      </c>
      <c r="CC82">
        <f t="shared" si="154"/>
        <v>-50</v>
      </c>
    </row>
    <row r="83" spans="5:81" x14ac:dyDescent="0.2">
      <c r="E83" s="178">
        <v>78</v>
      </c>
      <c r="F83" s="225">
        <f t="shared" si="155"/>
        <v>0.23399999999999999</v>
      </c>
      <c r="G83" s="225"/>
      <c r="H83" s="225">
        <f t="shared" si="109"/>
        <v>3.51</v>
      </c>
      <c r="I83" s="561">
        <f t="shared" si="110"/>
        <v>12</v>
      </c>
      <c r="J83" s="180">
        <f t="shared" si="111"/>
        <v>15.25</v>
      </c>
      <c r="K83" s="456">
        <f t="shared" si="112"/>
        <v>27.25</v>
      </c>
      <c r="L83" s="456"/>
      <c r="M83" s="225">
        <f t="shared" si="113"/>
        <v>0.55963302752293576</v>
      </c>
      <c r="N83" s="180">
        <f t="shared" si="114"/>
        <v>4.3819266055045869</v>
      </c>
      <c r="O83" s="180">
        <f t="shared" si="156"/>
        <v>3.51</v>
      </c>
      <c r="P83" s="225">
        <f t="shared" si="115"/>
        <v>0.29212844036697244</v>
      </c>
      <c r="Q83" s="225">
        <f t="shared" si="116"/>
        <v>15</v>
      </c>
      <c r="R83" s="225">
        <f t="shared" si="117"/>
        <v>0.32458715596330273</v>
      </c>
      <c r="S83" s="180">
        <f t="shared" si="118"/>
        <v>21.598845487746441</v>
      </c>
      <c r="T83" s="180">
        <f t="shared" si="119"/>
        <v>15</v>
      </c>
      <c r="U83" s="225">
        <f t="shared" si="120"/>
        <v>1.1614754098360653</v>
      </c>
      <c r="V83" s="225">
        <f t="shared" si="121"/>
        <v>3.8715846994535514</v>
      </c>
      <c r="W83" s="225">
        <f t="shared" si="122"/>
        <v>3.0464928782585323</v>
      </c>
      <c r="X83" s="205">
        <f t="shared" si="123"/>
        <v>350</v>
      </c>
      <c r="Y83" s="456">
        <f t="shared" si="157"/>
        <v>144.54882715130171</v>
      </c>
      <c r="AA83" s="225">
        <f t="shared" si="124"/>
        <v>0.47968545216251629</v>
      </c>
      <c r="AB83" s="181">
        <f t="shared" si="125"/>
        <v>1.258191349934469</v>
      </c>
      <c r="AC83" s="181">
        <f t="shared" si="126"/>
        <v>0.10561881515504945</v>
      </c>
      <c r="AD83" s="181"/>
      <c r="AE83" s="181">
        <f t="shared" si="127"/>
        <v>0.76065573770491812</v>
      </c>
      <c r="AF83" s="565">
        <f t="shared" si="170"/>
        <v>2121.5814506539832</v>
      </c>
      <c r="AG83" s="548">
        <f t="shared" si="128"/>
        <v>3.8603278688524589E-2</v>
      </c>
      <c r="AI83" s="181">
        <f t="shared" si="129"/>
        <v>0.75261449057839114</v>
      </c>
      <c r="AJ83" s="181">
        <f t="shared" si="130"/>
        <v>1.1614754098360653</v>
      </c>
      <c r="AK83" s="181">
        <f t="shared" si="131"/>
        <v>1.8455373406193076</v>
      </c>
      <c r="AM83" s="565">
        <f t="shared" si="132"/>
        <v>234</v>
      </c>
      <c r="AN83" s="474">
        <f t="shared" si="133"/>
        <v>144.54882715130171</v>
      </c>
      <c r="AP83">
        <f t="shared" si="134"/>
        <v>234</v>
      </c>
      <c r="AQ83">
        <f t="shared" si="135"/>
        <v>144.54882715130171</v>
      </c>
      <c r="AS83" s="6">
        <f t="shared" si="158"/>
        <v>6.9180775777120838</v>
      </c>
      <c r="AT83" s="6">
        <f t="shared" si="136"/>
        <v>3.8715846994535514</v>
      </c>
      <c r="AU83" s="6">
        <f t="shared" si="159"/>
        <v>3.0464928782585323</v>
      </c>
      <c r="AV83" s="6">
        <f t="shared" si="137"/>
        <v>3.0464928782585323</v>
      </c>
      <c r="AW83" s="181">
        <f t="shared" si="160"/>
        <v>0.55963302752293576</v>
      </c>
      <c r="AX83" s="181">
        <f t="shared" si="138"/>
        <v>3.899999999999999</v>
      </c>
      <c r="AY83" s="181">
        <f t="shared" si="139"/>
        <v>0.25573770491803277</v>
      </c>
      <c r="AZ83" s="181">
        <f t="shared" si="161"/>
        <v>15.249999999999996</v>
      </c>
      <c r="BA83" s="474">
        <f t="shared" si="140"/>
        <v>6.0396721311475403</v>
      </c>
      <c r="BB83" s="6">
        <f t="shared" si="141"/>
        <v>1.6501836423900378</v>
      </c>
      <c r="BC83" s="6"/>
      <c r="BD83" s="181">
        <f t="shared" si="162"/>
        <v>0.50165028203369</v>
      </c>
      <c r="BE83" s="181">
        <f t="shared" si="142"/>
        <v>0.44499667087159711</v>
      </c>
      <c r="BF83" s="181"/>
      <c r="BG83" s="548">
        <f t="shared" si="143"/>
        <v>8.8078551912568248E-2</v>
      </c>
      <c r="BH83" s="548">
        <f t="shared" si="144"/>
        <v>4.5749999999999999E-2</v>
      </c>
      <c r="BI83" s="548">
        <f t="shared" si="145"/>
        <v>1.8068603393912711E-3</v>
      </c>
      <c r="BJ83" s="548">
        <f t="shared" si="146"/>
        <v>6.1718509615384621E-3</v>
      </c>
      <c r="BK83">
        <f t="shared" si="147"/>
        <v>3.48E-3</v>
      </c>
      <c r="BL83" s="474">
        <f t="shared" si="163"/>
        <v>145.28726321349799</v>
      </c>
      <c r="BM83" s="548">
        <f t="shared" si="148"/>
        <v>8.1899999999999987E-2</v>
      </c>
      <c r="BN83" s="548"/>
      <c r="BP83" s="474">
        <f t="shared" si="164"/>
        <v>81.899999999999991</v>
      </c>
      <c r="BQ83" s="548">
        <f t="shared" si="149"/>
        <v>0</v>
      </c>
      <c r="BR83" s="548">
        <f t="shared" si="150"/>
        <v>0</v>
      </c>
      <c r="BS83" s="548">
        <f t="shared" si="151"/>
        <v>1.826129127960608E-2</v>
      </c>
      <c r="BT83" s="548">
        <f t="shared" si="152"/>
        <v>0.20474999999999996</v>
      </c>
      <c r="BU83" s="474">
        <f t="shared" si="165"/>
        <v>223.01129127960604</v>
      </c>
      <c r="BV83" s="181">
        <f t="shared" si="166"/>
        <v>0.45019855449310398</v>
      </c>
      <c r="BW83" s="6">
        <f t="shared" si="167"/>
        <v>3.51</v>
      </c>
      <c r="BX83" s="181">
        <f t="shared" si="168"/>
        <v>0.88631919629829559</v>
      </c>
      <c r="BY83" s="6">
        <f t="shared" si="169"/>
        <v>88.631919629829554</v>
      </c>
      <c r="CB83" s="583">
        <f t="shared" si="153"/>
        <v>-50</v>
      </c>
      <c r="CC83">
        <f t="shared" si="154"/>
        <v>-50</v>
      </c>
    </row>
    <row r="84" spans="5:81" x14ac:dyDescent="0.2">
      <c r="E84" s="178">
        <v>79</v>
      </c>
      <c r="F84" s="225">
        <f t="shared" si="155"/>
        <v>0.23699999999999999</v>
      </c>
      <c r="G84" s="225"/>
      <c r="H84" s="225">
        <f t="shared" si="109"/>
        <v>3.5549999999999997</v>
      </c>
      <c r="I84" s="561">
        <f t="shared" si="110"/>
        <v>12</v>
      </c>
      <c r="J84" s="180">
        <f t="shared" si="111"/>
        <v>15.25</v>
      </c>
      <c r="K84" s="456">
        <f t="shared" si="112"/>
        <v>27.25</v>
      </c>
      <c r="L84" s="456"/>
      <c r="M84" s="225">
        <f t="shared" si="113"/>
        <v>0.55963302752293576</v>
      </c>
      <c r="N84" s="180">
        <f t="shared" si="114"/>
        <v>4.3819266055045869</v>
      </c>
      <c r="O84" s="180">
        <f t="shared" si="156"/>
        <v>3.5549999999999997</v>
      </c>
      <c r="P84" s="225">
        <f t="shared" si="115"/>
        <v>0.29212844036697244</v>
      </c>
      <c r="Q84" s="225">
        <f t="shared" si="116"/>
        <v>15</v>
      </c>
      <c r="R84" s="225">
        <f t="shared" si="117"/>
        <v>0.32458715596330273</v>
      </c>
      <c r="S84" s="180">
        <f t="shared" si="118"/>
        <v>21.177978557078561</v>
      </c>
      <c r="T84" s="180">
        <f t="shared" si="119"/>
        <v>15</v>
      </c>
      <c r="U84" s="225">
        <f t="shared" si="120"/>
        <v>1.1763661202185791</v>
      </c>
      <c r="V84" s="225">
        <f t="shared" si="121"/>
        <v>3.9212204007285973</v>
      </c>
      <c r="W84" s="225">
        <f t="shared" si="122"/>
        <v>3.0855504792618471</v>
      </c>
      <c r="X84" s="205">
        <f t="shared" si="123"/>
        <v>350</v>
      </c>
      <c r="Y84" s="456">
        <f t="shared" si="157"/>
        <v>142.71909516204471</v>
      </c>
      <c r="AA84" s="225">
        <f t="shared" si="124"/>
        <v>0.47968545216251629</v>
      </c>
      <c r="AB84" s="181">
        <f t="shared" si="125"/>
        <v>1.258191349934469</v>
      </c>
      <c r="AC84" s="181">
        <f t="shared" si="126"/>
        <v>0.10561881515504945</v>
      </c>
      <c r="AD84" s="181"/>
      <c r="AE84" s="181">
        <f t="shared" si="127"/>
        <v>0.76065573770491812</v>
      </c>
      <c r="AF84" s="565">
        <f t="shared" si="170"/>
        <v>2148.781212841855</v>
      </c>
      <c r="AG84" s="548">
        <f t="shared" si="128"/>
        <v>3.8603278688524589E-2</v>
      </c>
      <c r="AI84" s="181">
        <f t="shared" si="129"/>
        <v>0.75742357778885927</v>
      </c>
      <c r="AJ84" s="181">
        <f t="shared" si="130"/>
        <v>1.1763661202185791</v>
      </c>
      <c r="AK84" s="181">
        <f t="shared" si="131"/>
        <v>1.8565674964582066</v>
      </c>
      <c r="AM84" s="565">
        <f t="shared" si="132"/>
        <v>237</v>
      </c>
      <c r="AN84" s="474">
        <f t="shared" si="133"/>
        <v>142.71909516204471</v>
      </c>
      <c r="AP84">
        <f t="shared" si="134"/>
        <v>237</v>
      </c>
      <c r="AQ84">
        <f t="shared" si="135"/>
        <v>142.71909516204471</v>
      </c>
      <c r="AS84" s="6">
        <f t="shared" si="158"/>
        <v>7.0067708799904453</v>
      </c>
      <c r="AT84" s="6">
        <f t="shared" si="136"/>
        <v>3.9212204007285973</v>
      </c>
      <c r="AU84" s="6">
        <f t="shared" si="159"/>
        <v>3.085550479261848</v>
      </c>
      <c r="AV84" s="6">
        <f t="shared" si="137"/>
        <v>3.0855504792618471</v>
      </c>
      <c r="AW84" s="181">
        <f t="shared" si="160"/>
        <v>0.55963302752293576</v>
      </c>
      <c r="AX84" s="181">
        <f t="shared" si="138"/>
        <v>3.9499999999999997</v>
      </c>
      <c r="AY84" s="181">
        <f t="shared" si="139"/>
        <v>0.25901639344262295</v>
      </c>
      <c r="AZ84" s="181">
        <f t="shared" si="161"/>
        <v>15.249999999999998</v>
      </c>
      <c r="BA84" s="474">
        <f t="shared" si="140"/>
        <v>6.1955282331511841</v>
      </c>
      <c r="BB84" s="6">
        <f t="shared" si="141"/>
        <v>1.6927672768172635</v>
      </c>
      <c r="BC84" s="6"/>
      <c r="BD84" s="181">
        <f t="shared" si="162"/>
        <v>0.5080816959059169</v>
      </c>
      <c r="BE84" s="181">
        <f t="shared" si="142"/>
        <v>0.45070175639559201</v>
      </c>
      <c r="BF84" s="181"/>
      <c r="BG84" s="548">
        <f t="shared" si="143"/>
        <v>9.0351453400121406E-2</v>
      </c>
      <c r="BH84" s="548">
        <f t="shared" si="144"/>
        <v>4.5749999999999999E-2</v>
      </c>
      <c r="BI84" s="548">
        <f t="shared" si="145"/>
        <v>1.7839886895255589E-3</v>
      </c>
      <c r="BJ84" s="548">
        <f t="shared" si="146"/>
        <v>6.0937262658227846E-3</v>
      </c>
      <c r="BK84">
        <f t="shared" si="147"/>
        <v>3.48E-3</v>
      </c>
      <c r="BL84" s="474">
        <f t="shared" si="163"/>
        <v>147.45916835546976</v>
      </c>
      <c r="BM84" s="548">
        <f t="shared" si="148"/>
        <v>8.2949999999999996E-2</v>
      </c>
      <c r="BN84" s="548"/>
      <c r="BP84" s="474">
        <f t="shared" si="164"/>
        <v>82.95</v>
      </c>
      <c r="BQ84" s="548">
        <f t="shared" si="149"/>
        <v>0</v>
      </c>
      <c r="BR84" s="548">
        <f t="shared" si="150"/>
        <v>0</v>
      </c>
      <c r="BS84" s="548">
        <f t="shared" si="151"/>
        <v>1.8261291279606066E-2</v>
      </c>
      <c r="BT84" s="548">
        <f t="shared" si="152"/>
        <v>0.20737499999999998</v>
      </c>
      <c r="BU84" s="474">
        <f t="shared" si="165"/>
        <v>225.63629127960604</v>
      </c>
      <c r="BV84" s="181">
        <f t="shared" si="166"/>
        <v>0.45604545963507581</v>
      </c>
      <c r="BW84" s="6">
        <f t="shared" si="167"/>
        <v>3.5549999999999997</v>
      </c>
      <c r="BX84" s="181">
        <f t="shared" si="168"/>
        <v>0.88630259511529763</v>
      </c>
      <c r="BY84" s="6">
        <f t="shared" si="169"/>
        <v>88.630259511529758</v>
      </c>
      <c r="CB84" s="583">
        <f t="shared" si="153"/>
        <v>-50</v>
      </c>
      <c r="CC84">
        <f t="shared" si="154"/>
        <v>-50</v>
      </c>
    </row>
    <row r="85" spans="5:81" x14ac:dyDescent="0.2">
      <c r="E85" s="178">
        <v>80</v>
      </c>
      <c r="F85" s="225">
        <f t="shared" si="155"/>
        <v>0.24</v>
      </c>
      <c r="G85" s="225"/>
      <c r="H85" s="225">
        <f t="shared" si="109"/>
        <v>3.5999999999999996</v>
      </c>
      <c r="I85" s="561">
        <f t="shared" si="110"/>
        <v>12</v>
      </c>
      <c r="J85" s="180">
        <f t="shared" si="111"/>
        <v>15.25</v>
      </c>
      <c r="K85" s="456">
        <f t="shared" si="112"/>
        <v>27.25</v>
      </c>
      <c r="L85" s="456"/>
      <c r="M85" s="225">
        <f t="shared" si="113"/>
        <v>0.55963302752293576</v>
      </c>
      <c r="N85" s="180">
        <f t="shared" si="114"/>
        <v>4.3819266055045869</v>
      </c>
      <c r="O85" s="180">
        <f t="shared" si="156"/>
        <v>3.5999999999999996</v>
      </c>
      <c r="P85" s="225">
        <f t="shared" si="115"/>
        <v>0.29212844036697244</v>
      </c>
      <c r="Q85" s="225">
        <f t="shared" si="116"/>
        <v>15</v>
      </c>
      <c r="R85" s="225">
        <f t="shared" si="117"/>
        <v>0.32458715596330273</v>
      </c>
      <c r="S85" s="180">
        <f t="shared" si="118"/>
        <v>20.767736587619389</v>
      </c>
      <c r="T85" s="180">
        <f t="shared" si="119"/>
        <v>15</v>
      </c>
      <c r="U85" s="225">
        <f t="shared" si="120"/>
        <v>1.1912568306010927</v>
      </c>
      <c r="V85" s="225">
        <f t="shared" si="121"/>
        <v>3.9708561020036428</v>
      </c>
      <c r="W85" s="225">
        <f t="shared" si="122"/>
        <v>3.1246080802651615</v>
      </c>
      <c r="X85" s="205">
        <f t="shared" si="123"/>
        <v>350</v>
      </c>
      <c r="Y85" s="456">
        <f t="shared" si="157"/>
        <v>140.93510647251918</v>
      </c>
      <c r="AA85" s="225">
        <f t="shared" si="124"/>
        <v>0.47968545216251629</v>
      </c>
      <c r="AB85" s="181">
        <f t="shared" si="125"/>
        <v>1.258191349934469</v>
      </c>
      <c r="AC85" s="181">
        <f t="shared" si="126"/>
        <v>0.10561881515504945</v>
      </c>
      <c r="AD85" s="181"/>
      <c r="AE85" s="181">
        <f t="shared" si="127"/>
        <v>0.76065573770491812</v>
      </c>
      <c r="AF85" s="565">
        <f t="shared" si="170"/>
        <v>2175.9809750297263</v>
      </c>
      <c r="AG85" s="548">
        <f t="shared" si="128"/>
        <v>3.8603278688524589E-2</v>
      </c>
      <c r="AI85" s="181">
        <f t="shared" si="129"/>
        <v>0.76220232284635614</v>
      </c>
      <c r="AJ85" s="181">
        <f t="shared" si="130"/>
        <v>1.1912568306010927</v>
      </c>
      <c r="AK85" s="181">
        <f t="shared" si="131"/>
        <v>1.8675976522971056</v>
      </c>
      <c r="AM85" s="565">
        <f t="shared" si="132"/>
        <v>240</v>
      </c>
      <c r="AN85" s="474">
        <f t="shared" si="133"/>
        <v>140.93510647251918</v>
      </c>
      <c r="AP85">
        <f t="shared" si="134"/>
        <v>240</v>
      </c>
      <c r="AQ85">
        <f t="shared" si="135"/>
        <v>140.93510647251918</v>
      </c>
      <c r="AS85" s="6">
        <f t="shared" si="158"/>
        <v>7.0954641822688034</v>
      </c>
      <c r="AT85" s="6">
        <f t="shared" si="136"/>
        <v>3.9708561020036428</v>
      </c>
      <c r="AU85" s="6">
        <f t="shared" si="159"/>
        <v>3.1246080802651606</v>
      </c>
      <c r="AV85" s="6">
        <f t="shared" si="137"/>
        <v>3.1246080802651615</v>
      </c>
      <c r="AW85" s="181">
        <f t="shared" si="160"/>
        <v>0.55963302752293587</v>
      </c>
      <c r="AX85" s="181">
        <f t="shared" si="138"/>
        <v>3.9999999999999991</v>
      </c>
      <c r="AY85" s="181">
        <f t="shared" si="139"/>
        <v>0.26229508196721302</v>
      </c>
      <c r="AZ85" s="181">
        <f t="shared" si="161"/>
        <v>15.250000000000002</v>
      </c>
      <c r="BA85" s="474">
        <f t="shared" si="140"/>
        <v>6.3533697632058281</v>
      </c>
      <c r="BB85" s="6">
        <f t="shared" si="141"/>
        <v>1.7358933779250889</v>
      </c>
      <c r="BC85" s="6"/>
      <c r="BD85" s="181">
        <f t="shared" si="162"/>
        <v>0.51451310977814368</v>
      </c>
      <c r="BE85" s="181">
        <f t="shared" si="142"/>
        <v>0.4564068419195868</v>
      </c>
      <c r="BF85" s="181"/>
      <c r="BG85" s="548">
        <f t="shared" si="143"/>
        <v>9.2653309046751647E-2</v>
      </c>
      <c r="BH85" s="548">
        <f t="shared" si="144"/>
        <v>4.5749999999999999E-2</v>
      </c>
      <c r="BI85" s="548">
        <f t="shared" si="145"/>
        <v>1.7616888309064896E-3</v>
      </c>
      <c r="BJ85" s="548">
        <f t="shared" si="146"/>
        <v>6.017554687500001E-3</v>
      </c>
      <c r="BK85">
        <f t="shared" si="147"/>
        <v>3.48E-3</v>
      </c>
      <c r="BL85" s="474">
        <f t="shared" si="163"/>
        <v>149.66255256515814</v>
      </c>
      <c r="BM85" s="548">
        <f t="shared" si="148"/>
        <v>8.3999999999999991E-2</v>
      </c>
      <c r="BN85" s="548"/>
      <c r="BP85" s="474">
        <f t="shared" si="164"/>
        <v>83.999999999999986</v>
      </c>
      <c r="BQ85" s="548">
        <f t="shared" si="149"/>
        <v>0</v>
      </c>
      <c r="BR85" s="548">
        <f t="shared" si="150"/>
        <v>0</v>
      </c>
      <c r="BS85" s="548">
        <f t="shared" si="151"/>
        <v>1.8261291279606025E-2</v>
      </c>
      <c r="BT85" s="548">
        <f t="shared" si="152"/>
        <v>0.21</v>
      </c>
      <c r="BU85" s="474">
        <f t="shared" si="165"/>
        <v>228.26129127960601</v>
      </c>
      <c r="BV85" s="181">
        <f t="shared" si="166"/>
        <v>0.46192384384476415</v>
      </c>
      <c r="BW85" s="6">
        <f t="shared" si="167"/>
        <v>3.5999999999999996</v>
      </c>
      <c r="BX85" s="181">
        <f t="shared" si="168"/>
        <v>0.88627954102469431</v>
      </c>
      <c r="BY85" s="6">
        <f t="shared" si="169"/>
        <v>88.627954102469431</v>
      </c>
      <c r="CB85" s="583">
        <f t="shared" si="153"/>
        <v>-50</v>
      </c>
      <c r="CC85">
        <f t="shared" si="154"/>
        <v>-50</v>
      </c>
    </row>
    <row r="86" spans="5:81" x14ac:dyDescent="0.2">
      <c r="E86" s="178">
        <v>81</v>
      </c>
      <c r="F86" s="225">
        <f t="shared" si="155"/>
        <v>0.24299999999999999</v>
      </c>
      <c r="G86" s="225"/>
      <c r="H86" s="225">
        <f t="shared" si="109"/>
        <v>3.645</v>
      </c>
      <c r="I86" s="561">
        <f t="shared" si="110"/>
        <v>12</v>
      </c>
      <c r="J86" s="180">
        <f t="shared" si="111"/>
        <v>15.25</v>
      </c>
      <c r="K86" s="456">
        <f t="shared" si="112"/>
        <v>27.25</v>
      </c>
      <c r="L86" s="456"/>
      <c r="M86" s="225">
        <f t="shared" si="113"/>
        <v>0.55963302752293576</v>
      </c>
      <c r="N86" s="180">
        <f t="shared" si="114"/>
        <v>4.3819266055045869</v>
      </c>
      <c r="O86" s="180">
        <f t="shared" si="156"/>
        <v>3.645</v>
      </c>
      <c r="P86" s="225">
        <f t="shared" si="115"/>
        <v>0.29212844036697244</v>
      </c>
      <c r="Q86" s="225">
        <f t="shared" si="116"/>
        <v>15</v>
      </c>
      <c r="R86" s="225">
        <f t="shared" si="117"/>
        <v>0.32458715596330273</v>
      </c>
      <c r="S86" s="180">
        <f t="shared" si="118"/>
        <v>20.367728069899965</v>
      </c>
      <c r="T86" s="180">
        <f t="shared" si="119"/>
        <v>15</v>
      </c>
      <c r="U86" s="225">
        <f t="shared" si="120"/>
        <v>1.2061475409836064</v>
      </c>
      <c r="V86" s="225">
        <f t="shared" si="121"/>
        <v>4.0204918032786887</v>
      </c>
      <c r="W86" s="225">
        <f t="shared" si="122"/>
        <v>3.1636656812684762</v>
      </c>
      <c r="X86" s="205">
        <f t="shared" si="123"/>
        <v>350</v>
      </c>
      <c r="Y86" s="456">
        <f t="shared" si="157"/>
        <v>139.19516688643864</v>
      </c>
      <c r="AA86" s="225">
        <f t="shared" si="124"/>
        <v>0.47968545216251629</v>
      </c>
      <c r="AB86" s="181">
        <f t="shared" si="125"/>
        <v>1.258191349934469</v>
      </c>
      <c r="AC86" s="181">
        <f t="shared" si="126"/>
        <v>0.10561881515504945</v>
      </c>
      <c r="AD86" s="181"/>
      <c r="AE86" s="181">
        <f t="shared" si="127"/>
        <v>0.76065573770491812</v>
      </c>
      <c r="AF86" s="565">
        <f t="shared" si="170"/>
        <v>2203.1807372175981</v>
      </c>
      <c r="AG86" s="548">
        <f t="shared" si="128"/>
        <v>3.8603278688524589E-2</v>
      </c>
      <c r="AI86" s="181">
        <f t="shared" si="129"/>
        <v>0.76695129292171194</v>
      </c>
      <c r="AJ86" s="181">
        <f t="shared" si="130"/>
        <v>1.2061475409836064</v>
      </c>
      <c r="AK86" s="181">
        <f t="shared" si="131"/>
        <v>1.8786278081360046</v>
      </c>
      <c r="AM86" s="565">
        <f t="shared" si="132"/>
        <v>243</v>
      </c>
      <c r="AN86" s="474">
        <f t="shared" si="133"/>
        <v>139.19516688643864</v>
      </c>
      <c r="AP86">
        <f t="shared" si="134"/>
        <v>243</v>
      </c>
      <c r="AQ86">
        <f t="shared" si="135"/>
        <v>139.19516688643864</v>
      </c>
      <c r="AS86" s="6">
        <f t="shared" si="158"/>
        <v>7.1841574845471667</v>
      </c>
      <c r="AT86" s="6">
        <f t="shared" si="136"/>
        <v>4.0204918032786887</v>
      </c>
      <c r="AU86" s="6">
        <f t="shared" si="159"/>
        <v>3.163665681268478</v>
      </c>
      <c r="AV86" s="6">
        <f t="shared" si="137"/>
        <v>3.1636656812684762</v>
      </c>
      <c r="AW86" s="181">
        <f t="shared" si="160"/>
        <v>0.55963302752293564</v>
      </c>
      <c r="AX86" s="181">
        <f t="shared" si="138"/>
        <v>4.0499999999999989</v>
      </c>
      <c r="AY86" s="181">
        <f t="shared" si="139"/>
        <v>0.26557377049180331</v>
      </c>
      <c r="AZ86" s="181">
        <f t="shared" si="161"/>
        <v>15.249999999999995</v>
      </c>
      <c r="BA86" s="474">
        <f t="shared" si="140"/>
        <v>6.5131967213114752</v>
      </c>
      <c r="BB86" s="6">
        <f t="shared" si="141"/>
        <v>1.7795619457135186</v>
      </c>
      <c r="BC86" s="6"/>
      <c r="BD86" s="181">
        <f t="shared" si="162"/>
        <v>0.52094452365037036</v>
      </c>
      <c r="BE86" s="181">
        <f t="shared" si="142"/>
        <v>0.46211192744358176</v>
      </c>
      <c r="BF86" s="181"/>
      <c r="BG86" s="548">
        <f t="shared" si="143"/>
        <v>9.4984118852458943E-2</v>
      </c>
      <c r="BH86" s="548">
        <f t="shared" si="144"/>
        <v>4.5749999999999992E-2</v>
      </c>
      <c r="BI86" s="548">
        <f t="shared" si="145"/>
        <v>1.739939586080483E-3</v>
      </c>
      <c r="BJ86" s="548">
        <f t="shared" si="146"/>
        <v>5.9432638888888877E-3</v>
      </c>
      <c r="BK86">
        <f t="shared" si="147"/>
        <v>3.48E-3</v>
      </c>
      <c r="BL86" s="474">
        <f t="shared" si="163"/>
        <v>151.8973223274283</v>
      </c>
      <c r="BM86" s="548">
        <f t="shared" si="148"/>
        <v>8.5049999999999987E-2</v>
      </c>
      <c r="BN86" s="548"/>
      <c r="BP86" s="474">
        <f t="shared" si="164"/>
        <v>85.049999999999983</v>
      </c>
      <c r="BQ86" s="548">
        <f t="shared" si="149"/>
        <v>0</v>
      </c>
      <c r="BR86" s="548">
        <f t="shared" si="150"/>
        <v>0</v>
      </c>
      <c r="BS86" s="548">
        <f t="shared" si="151"/>
        <v>1.8261291279606053E-2</v>
      </c>
      <c r="BT86" s="548">
        <f t="shared" si="152"/>
        <v>0.21262499999999995</v>
      </c>
      <c r="BU86" s="474">
        <f t="shared" si="165"/>
        <v>230.88629127960598</v>
      </c>
      <c r="BV86" s="181">
        <f t="shared" si="166"/>
        <v>0.46783361360703429</v>
      </c>
      <c r="BW86" s="6">
        <f t="shared" si="167"/>
        <v>3.645</v>
      </c>
      <c r="BX86" s="181">
        <f t="shared" si="168"/>
        <v>0.88625029418665557</v>
      </c>
      <c r="BY86" s="6">
        <f t="shared" si="169"/>
        <v>88.625029418665562</v>
      </c>
      <c r="CB86" s="583">
        <f t="shared" si="153"/>
        <v>-50</v>
      </c>
      <c r="CC86">
        <f t="shared" si="154"/>
        <v>-50</v>
      </c>
    </row>
    <row r="87" spans="5:81" x14ac:dyDescent="0.2">
      <c r="E87" s="178">
        <v>82</v>
      </c>
      <c r="F87" s="225">
        <f t="shared" si="155"/>
        <v>0.24599999999999997</v>
      </c>
      <c r="G87" s="225"/>
      <c r="H87" s="225">
        <f t="shared" si="109"/>
        <v>3.6899999999999995</v>
      </c>
      <c r="I87" s="561">
        <f t="shared" si="110"/>
        <v>12</v>
      </c>
      <c r="J87" s="180">
        <f t="shared" si="111"/>
        <v>15.25</v>
      </c>
      <c r="K87" s="456">
        <f t="shared" si="112"/>
        <v>27.25</v>
      </c>
      <c r="L87" s="456"/>
      <c r="M87" s="225">
        <f t="shared" si="113"/>
        <v>0.55963302752293576</v>
      </c>
      <c r="N87" s="180">
        <f t="shared" si="114"/>
        <v>4.3819266055045869</v>
      </c>
      <c r="O87" s="180">
        <f t="shared" si="156"/>
        <v>3.6899999999999995</v>
      </c>
      <c r="P87" s="225">
        <f t="shared" si="115"/>
        <v>0.29212844036697244</v>
      </c>
      <c r="Q87" s="225">
        <f t="shared" si="116"/>
        <v>15</v>
      </c>
      <c r="R87" s="225">
        <f t="shared" si="117"/>
        <v>0.32458715596330273</v>
      </c>
      <c r="S87" s="180">
        <f t="shared" si="118"/>
        <v>19.977580641704773</v>
      </c>
      <c r="T87" s="180">
        <f t="shared" si="119"/>
        <v>15</v>
      </c>
      <c r="U87" s="225">
        <f t="shared" si="120"/>
        <v>1.22103825136612</v>
      </c>
      <c r="V87" s="225">
        <f t="shared" si="121"/>
        <v>4.0701275045537333</v>
      </c>
      <c r="W87" s="225">
        <f t="shared" si="122"/>
        <v>3.2027232822717906</v>
      </c>
      <c r="X87" s="205">
        <f t="shared" si="123"/>
        <v>350</v>
      </c>
      <c r="Y87" s="456">
        <f t="shared" si="157"/>
        <v>137.4976648512382</v>
      </c>
      <c r="AA87" s="225">
        <f t="shared" si="124"/>
        <v>0.47968545216251629</v>
      </c>
      <c r="AB87" s="181">
        <f t="shared" si="125"/>
        <v>1.258191349934469</v>
      </c>
      <c r="AC87" s="181">
        <f t="shared" si="126"/>
        <v>0.10561881515504945</v>
      </c>
      <c r="AD87" s="181"/>
      <c r="AE87" s="181">
        <f t="shared" si="127"/>
        <v>0.76065573770491812</v>
      </c>
      <c r="AF87" s="565">
        <f t="shared" si="170"/>
        <v>2230.3804994054694</v>
      </c>
      <c r="AG87" s="548">
        <f t="shared" si="128"/>
        <v>3.8603278688524589E-2</v>
      </c>
      <c r="AI87" s="181">
        <f t="shared" si="129"/>
        <v>0.77167103773317192</v>
      </c>
      <c r="AJ87" s="181">
        <f t="shared" si="130"/>
        <v>1.22103825136612</v>
      </c>
      <c r="AK87" s="181">
        <f t="shared" si="131"/>
        <v>1.8896579639749036</v>
      </c>
      <c r="AM87" s="565">
        <f t="shared" si="132"/>
        <v>245.99999999999997</v>
      </c>
      <c r="AN87" s="474">
        <f t="shared" si="133"/>
        <v>137.4976648512382</v>
      </c>
      <c r="AP87">
        <f t="shared" si="134"/>
        <v>245.99999999999997</v>
      </c>
      <c r="AQ87">
        <f t="shared" si="135"/>
        <v>137.4976648512382</v>
      </c>
      <c r="AS87" s="6">
        <f t="shared" si="158"/>
        <v>7.2728507868255248</v>
      </c>
      <c r="AT87" s="6">
        <f t="shared" si="136"/>
        <v>4.0701275045537333</v>
      </c>
      <c r="AU87" s="6">
        <f t="shared" si="159"/>
        <v>3.2027232822717915</v>
      </c>
      <c r="AV87" s="6">
        <f t="shared" si="137"/>
        <v>3.2027232822717906</v>
      </c>
      <c r="AW87" s="181">
        <f t="shared" si="160"/>
        <v>0.55963302752293564</v>
      </c>
      <c r="AX87" s="181">
        <f t="shared" si="138"/>
        <v>4.0999999999999988</v>
      </c>
      <c r="AY87" s="181">
        <f t="shared" si="139"/>
        <v>0.26885245901639349</v>
      </c>
      <c r="AZ87" s="181">
        <f t="shared" si="161"/>
        <v>15.249999999999993</v>
      </c>
      <c r="BA87" s="474">
        <f t="shared" si="140"/>
        <v>6.6750091074681217</v>
      </c>
      <c r="BB87" s="6">
        <f t="shared" si="141"/>
        <v>1.8237729801825473</v>
      </c>
      <c r="BC87" s="6"/>
      <c r="BD87" s="181">
        <f t="shared" si="162"/>
        <v>0.52737593752259715</v>
      </c>
      <c r="BE87" s="181">
        <f t="shared" si="142"/>
        <v>0.46781701296757655</v>
      </c>
      <c r="BF87" s="181"/>
      <c r="BG87" s="548">
        <f t="shared" si="143"/>
        <v>9.7343882817243391E-2</v>
      </c>
      <c r="BH87" s="548">
        <f t="shared" si="144"/>
        <v>4.5749999999999992E-2</v>
      </c>
      <c r="BI87" s="548">
        <f t="shared" si="145"/>
        <v>1.7187208106404775E-3</v>
      </c>
      <c r="BJ87" s="548">
        <f t="shared" si="146"/>
        <v>5.870785060975609E-3</v>
      </c>
      <c r="BK87">
        <f t="shared" si="147"/>
        <v>3.48E-3</v>
      </c>
      <c r="BL87" s="474">
        <f t="shared" si="163"/>
        <v>154.16338868885947</v>
      </c>
      <c r="BM87" s="548">
        <f t="shared" si="148"/>
        <v>8.6099999999999982E-2</v>
      </c>
      <c r="BN87" s="548"/>
      <c r="BP87" s="474">
        <f t="shared" si="164"/>
        <v>86.09999999999998</v>
      </c>
      <c r="BQ87" s="548">
        <f t="shared" si="149"/>
        <v>0</v>
      </c>
      <c r="BR87" s="548">
        <f t="shared" si="150"/>
        <v>0</v>
      </c>
      <c r="BS87" s="548">
        <f t="shared" si="151"/>
        <v>1.8261291279606039E-2</v>
      </c>
      <c r="BT87" s="548">
        <f t="shared" si="152"/>
        <v>0.21524999999999994</v>
      </c>
      <c r="BU87" s="474">
        <f t="shared" si="165"/>
        <v>233.51129127960598</v>
      </c>
      <c r="BV87" s="181">
        <f t="shared" si="166"/>
        <v>0.47377467996846545</v>
      </c>
      <c r="BW87" s="6">
        <f t="shared" si="167"/>
        <v>3.6899999999999995</v>
      </c>
      <c r="BX87" s="181">
        <f t="shared" si="168"/>
        <v>0.88621510134836268</v>
      </c>
      <c r="BY87" s="6">
        <f t="shared" si="169"/>
        <v>88.621510134836271</v>
      </c>
      <c r="CB87" s="583">
        <f t="shared" si="153"/>
        <v>-50</v>
      </c>
      <c r="CC87">
        <f t="shared" si="154"/>
        <v>-50</v>
      </c>
    </row>
    <row r="88" spans="5:81" x14ac:dyDescent="0.2">
      <c r="E88" s="178">
        <v>83</v>
      </c>
      <c r="F88" s="225">
        <f t="shared" si="155"/>
        <v>0.24899999999999997</v>
      </c>
      <c r="G88" s="225"/>
      <c r="H88" s="225">
        <f t="shared" si="109"/>
        <v>3.7349999999999994</v>
      </c>
      <c r="I88" s="561">
        <f t="shared" si="110"/>
        <v>12</v>
      </c>
      <c r="J88" s="180">
        <f t="shared" si="111"/>
        <v>15.25</v>
      </c>
      <c r="K88" s="456">
        <f t="shared" si="112"/>
        <v>27.25</v>
      </c>
      <c r="L88" s="456"/>
      <c r="M88" s="225">
        <f t="shared" si="113"/>
        <v>0.55963302752293576</v>
      </c>
      <c r="N88" s="180">
        <f t="shared" si="114"/>
        <v>4.3819266055045869</v>
      </c>
      <c r="O88" s="180">
        <f t="shared" si="156"/>
        <v>3.7349999999999994</v>
      </c>
      <c r="P88" s="225">
        <f t="shared" si="115"/>
        <v>0.29212844036697244</v>
      </c>
      <c r="Q88" s="225">
        <f t="shared" si="116"/>
        <v>15</v>
      </c>
      <c r="R88" s="225">
        <f t="shared" si="117"/>
        <v>0.32458715596330273</v>
      </c>
      <c r="S88" s="180">
        <f t="shared" si="118"/>
        <v>19.596939936030786</v>
      </c>
      <c r="T88" s="180">
        <f t="shared" si="119"/>
        <v>15</v>
      </c>
      <c r="U88" s="225">
        <f t="shared" si="120"/>
        <v>1.2359289617486335</v>
      </c>
      <c r="V88" s="225">
        <f t="shared" si="121"/>
        <v>4.1197632058287788</v>
      </c>
      <c r="W88" s="225">
        <f t="shared" si="122"/>
        <v>3.2417808832751045</v>
      </c>
      <c r="X88" s="205">
        <f t="shared" si="123"/>
        <v>350</v>
      </c>
      <c r="Y88" s="456">
        <f t="shared" si="157"/>
        <v>135.84106647953655</v>
      </c>
      <c r="AA88" s="225">
        <f t="shared" si="124"/>
        <v>0.47968545216251629</v>
      </c>
      <c r="AB88" s="181">
        <f t="shared" si="125"/>
        <v>1.258191349934469</v>
      </c>
      <c r="AC88" s="181">
        <f t="shared" si="126"/>
        <v>0.10561881515504945</v>
      </c>
      <c r="AD88" s="181"/>
      <c r="AE88" s="181">
        <f t="shared" si="127"/>
        <v>0.76065573770491812</v>
      </c>
      <c r="AF88" s="565">
        <f t="shared" si="170"/>
        <v>2257.5802615933408</v>
      </c>
      <c r="AG88" s="548">
        <f t="shared" si="128"/>
        <v>3.8603278688524589E-2</v>
      </c>
      <c r="AI88" s="181">
        <f t="shared" si="129"/>
        <v>0.77636209028912218</v>
      </c>
      <c r="AJ88" s="181">
        <f t="shared" si="130"/>
        <v>1.2359289617486335</v>
      </c>
      <c r="AK88" s="181">
        <f t="shared" si="131"/>
        <v>1.9006881198138026</v>
      </c>
      <c r="AM88" s="565">
        <f t="shared" si="132"/>
        <v>248.99999999999997</v>
      </c>
      <c r="AN88" s="474">
        <f t="shared" si="133"/>
        <v>135.84106647953655</v>
      </c>
      <c r="AP88">
        <f t="shared" si="134"/>
        <v>248.99999999999997</v>
      </c>
      <c r="AQ88">
        <f t="shared" si="135"/>
        <v>135.84106647953655</v>
      </c>
      <c r="AS88" s="6">
        <f t="shared" si="158"/>
        <v>7.3615440891038837</v>
      </c>
      <c r="AT88" s="6">
        <f t="shared" si="136"/>
        <v>4.1197632058287788</v>
      </c>
      <c r="AU88" s="6">
        <f t="shared" si="159"/>
        <v>3.2417808832751049</v>
      </c>
      <c r="AV88" s="6">
        <f t="shared" si="137"/>
        <v>3.2417808832751045</v>
      </c>
      <c r="AW88" s="181">
        <f t="shared" si="160"/>
        <v>0.55963302752293576</v>
      </c>
      <c r="AX88" s="181">
        <f t="shared" si="138"/>
        <v>4.1499999999999995</v>
      </c>
      <c r="AY88" s="181">
        <f t="shared" si="139"/>
        <v>0.27213114754098355</v>
      </c>
      <c r="AZ88" s="181">
        <f t="shared" si="161"/>
        <v>15.250000000000002</v>
      </c>
      <c r="BA88" s="474">
        <f t="shared" si="140"/>
        <v>6.8388069216757712</v>
      </c>
      <c r="BB88" s="6">
        <f t="shared" si="141"/>
        <v>1.8685264813321778</v>
      </c>
      <c r="BC88" s="6"/>
      <c r="BD88" s="181">
        <f t="shared" si="162"/>
        <v>0.53380735139482394</v>
      </c>
      <c r="BE88" s="181">
        <f t="shared" si="142"/>
        <v>0.47352209849157129</v>
      </c>
      <c r="BF88" s="181"/>
      <c r="BG88" s="548">
        <f t="shared" si="143"/>
        <v>9.9732600941104962E-2</v>
      </c>
      <c r="BH88" s="548">
        <f t="shared" si="144"/>
        <v>4.5749999999999992E-2</v>
      </c>
      <c r="BI88" s="548">
        <f t="shared" si="145"/>
        <v>1.6980133309942068E-3</v>
      </c>
      <c r="BJ88" s="548">
        <f t="shared" si="146"/>
        <v>5.8000527108433737E-3</v>
      </c>
      <c r="BK88">
        <f t="shared" si="147"/>
        <v>3.48E-3</v>
      </c>
      <c r="BL88" s="474">
        <f t="shared" si="163"/>
        <v>156.46066698294257</v>
      </c>
      <c r="BM88" s="548">
        <f t="shared" si="148"/>
        <v>8.7149999999999991E-2</v>
      </c>
      <c r="BN88" s="548"/>
      <c r="BP88" s="474">
        <f t="shared" si="164"/>
        <v>87.149999999999991</v>
      </c>
      <c r="BQ88" s="548">
        <f t="shared" si="149"/>
        <v>0</v>
      </c>
      <c r="BR88" s="548">
        <f t="shared" si="150"/>
        <v>0</v>
      </c>
      <c r="BS88" s="548">
        <f t="shared" si="151"/>
        <v>1.8261291279606039E-2</v>
      </c>
      <c r="BT88" s="548">
        <f t="shared" si="152"/>
        <v>0.21787499999999993</v>
      </c>
      <c r="BU88" s="474">
        <f t="shared" si="165"/>
        <v>236.13629127960598</v>
      </c>
      <c r="BV88" s="181">
        <f t="shared" si="166"/>
        <v>0.47974695826254848</v>
      </c>
      <c r="BW88" s="6">
        <f t="shared" si="167"/>
        <v>3.7349999999999994</v>
      </c>
      <c r="BX88" s="181">
        <f t="shared" si="168"/>
        <v>0.88617419669238795</v>
      </c>
      <c r="BY88" s="6">
        <f t="shared" si="169"/>
        <v>88.617419669238799</v>
      </c>
      <c r="CB88" s="583">
        <f t="shared" si="153"/>
        <v>-50</v>
      </c>
      <c r="CC88">
        <f t="shared" si="154"/>
        <v>-50</v>
      </c>
    </row>
    <row r="89" spans="5:81" x14ac:dyDescent="0.2">
      <c r="E89" s="178">
        <v>84</v>
      </c>
      <c r="F89" s="225">
        <f t="shared" si="155"/>
        <v>0.252</v>
      </c>
      <c r="G89" s="225"/>
      <c r="H89" s="225">
        <f t="shared" si="109"/>
        <v>3.7800000000000002</v>
      </c>
      <c r="I89" s="561">
        <f t="shared" si="110"/>
        <v>12</v>
      </c>
      <c r="J89" s="180">
        <f t="shared" si="111"/>
        <v>15.25</v>
      </c>
      <c r="K89" s="456">
        <f t="shared" si="112"/>
        <v>27.25</v>
      </c>
      <c r="L89" s="456"/>
      <c r="M89" s="225">
        <f t="shared" si="113"/>
        <v>0.55963302752293576</v>
      </c>
      <c r="N89" s="180">
        <f t="shared" si="114"/>
        <v>4.3819266055045869</v>
      </c>
      <c r="O89" s="180">
        <f t="shared" si="156"/>
        <v>3.7800000000000002</v>
      </c>
      <c r="P89" s="225">
        <f t="shared" si="115"/>
        <v>0.29212844036697244</v>
      </c>
      <c r="Q89" s="225">
        <f t="shared" si="116"/>
        <v>15</v>
      </c>
      <c r="R89" s="225">
        <f t="shared" si="117"/>
        <v>0.32458715596330273</v>
      </c>
      <c r="S89" s="180">
        <f t="shared" si="118"/>
        <v>19.225468511379038</v>
      </c>
      <c r="T89" s="180">
        <f t="shared" si="119"/>
        <v>15</v>
      </c>
      <c r="U89" s="225">
        <f t="shared" si="120"/>
        <v>1.2508196721311475</v>
      </c>
      <c r="V89" s="225">
        <f t="shared" si="121"/>
        <v>4.169398907103826</v>
      </c>
      <c r="W89" s="225">
        <f t="shared" si="122"/>
        <v>3.2808384842784202</v>
      </c>
      <c r="X89" s="205">
        <f t="shared" si="123"/>
        <v>350</v>
      </c>
      <c r="Y89" s="456">
        <f t="shared" si="157"/>
        <v>134.2239109262087</v>
      </c>
      <c r="AA89" s="225">
        <f t="shared" si="124"/>
        <v>0.47968545216251629</v>
      </c>
      <c r="AB89" s="181">
        <f t="shared" si="125"/>
        <v>1.258191349934469</v>
      </c>
      <c r="AC89" s="181">
        <f t="shared" si="126"/>
        <v>0.10561881515504945</v>
      </c>
      <c r="AD89" s="181"/>
      <c r="AE89" s="181">
        <f t="shared" si="127"/>
        <v>0.76065573770491812</v>
      </c>
      <c r="AF89" s="565">
        <f t="shared" si="170"/>
        <v>2284.780023781213</v>
      </c>
      <c r="AG89" s="548">
        <f t="shared" si="128"/>
        <v>3.8603278688524589E-2</v>
      </c>
      <c r="AI89" s="181">
        <f t="shared" si="129"/>
        <v>0.78102496759066531</v>
      </c>
      <c r="AJ89" s="181">
        <f t="shared" si="130"/>
        <v>1.2508196721311475</v>
      </c>
      <c r="AK89" s="181">
        <f t="shared" si="131"/>
        <v>1.9117182756527018</v>
      </c>
      <c r="AM89" s="565">
        <f t="shared" si="132"/>
        <v>252</v>
      </c>
      <c r="AN89" s="474">
        <f t="shared" si="133"/>
        <v>134.2239109262087</v>
      </c>
      <c r="AP89">
        <f t="shared" si="134"/>
        <v>252</v>
      </c>
      <c r="AQ89">
        <f t="shared" si="135"/>
        <v>134.2239109262087</v>
      </c>
      <c r="AS89" s="6">
        <f t="shared" si="158"/>
        <v>7.4502373913822453</v>
      </c>
      <c r="AT89" s="6">
        <f t="shared" si="136"/>
        <v>4.169398907103826</v>
      </c>
      <c r="AU89" s="6">
        <f t="shared" si="159"/>
        <v>3.2808384842784193</v>
      </c>
      <c r="AV89" s="6">
        <f t="shared" si="137"/>
        <v>3.2808384842784202</v>
      </c>
      <c r="AW89" s="181">
        <f t="shared" si="160"/>
        <v>0.55963302752293587</v>
      </c>
      <c r="AX89" s="181">
        <f t="shared" si="138"/>
        <v>4.2</v>
      </c>
      <c r="AY89" s="181">
        <f t="shared" si="139"/>
        <v>0.27540983606557373</v>
      </c>
      <c r="AZ89" s="181">
        <f t="shared" si="161"/>
        <v>15.250000000000004</v>
      </c>
      <c r="BA89" s="474">
        <f t="shared" si="140"/>
        <v>7.0045901639344281</v>
      </c>
      <c r="BB89" s="6">
        <f t="shared" si="141"/>
        <v>1.9138224491624112</v>
      </c>
      <c r="BC89" s="6"/>
      <c r="BD89" s="181">
        <f t="shared" si="162"/>
        <v>0.54023876526705095</v>
      </c>
      <c r="BE89" s="181">
        <f t="shared" si="142"/>
        <v>0.47922718401556624</v>
      </c>
      <c r="BF89" s="181"/>
      <c r="BG89" s="548">
        <f t="shared" si="143"/>
        <v>0.1021502732240437</v>
      </c>
      <c r="BH89" s="548">
        <f t="shared" si="144"/>
        <v>4.5749999999999992E-2</v>
      </c>
      <c r="BI89" s="548">
        <f t="shared" si="145"/>
        <v>1.6777988865776087E-3</v>
      </c>
      <c r="BJ89" s="548">
        <f t="shared" si="146"/>
        <v>5.7310044642857137E-3</v>
      </c>
      <c r="BK89">
        <f t="shared" si="147"/>
        <v>3.48E-3</v>
      </c>
      <c r="BL89" s="474">
        <f t="shared" si="163"/>
        <v>158.789076574907</v>
      </c>
      <c r="BM89" s="548">
        <f t="shared" si="148"/>
        <v>8.8200000000000001E-2</v>
      </c>
      <c r="BN89" s="548"/>
      <c r="BP89" s="474">
        <f t="shared" si="164"/>
        <v>88.2</v>
      </c>
      <c r="BQ89" s="548">
        <f t="shared" si="149"/>
        <v>0</v>
      </c>
      <c r="BR89" s="548">
        <f t="shared" si="150"/>
        <v>0</v>
      </c>
      <c r="BS89" s="548">
        <f t="shared" si="151"/>
        <v>1.8261291279606025E-2</v>
      </c>
      <c r="BT89" s="548">
        <f t="shared" si="152"/>
        <v>0.22050000000000003</v>
      </c>
      <c r="BU89" s="474">
        <f t="shared" si="165"/>
        <v>238.76129127960604</v>
      </c>
      <c r="BV89" s="181">
        <f t="shared" si="166"/>
        <v>0.48575036785451309</v>
      </c>
      <c r="BW89" s="6">
        <f t="shared" si="167"/>
        <v>3.7800000000000002</v>
      </c>
      <c r="BX89" s="181">
        <f t="shared" si="168"/>
        <v>0.88612780262178714</v>
      </c>
      <c r="BY89" s="6">
        <f t="shared" si="169"/>
        <v>88.612780262178717</v>
      </c>
      <c r="CB89" s="583">
        <f t="shared" si="153"/>
        <v>-50</v>
      </c>
      <c r="CC89">
        <f t="shared" si="154"/>
        <v>-50</v>
      </c>
    </row>
    <row r="90" spans="5:81" x14ac:dyDescent="0.2">
      <c r="E90" s="178">
        <v>85</v>
      </c>
      <c r="F90" s="225">
        <f t="shared" si="155"/>
        <v>0.255</v>
      </c>
      <c r="G90" s="225"/>
      <c r="H90" s="225">
        <f t="shared" si="109"/>
        <v>3.8250000000000002</v>
      </c>
      <c r="I90" s="561">
        <f t="shared" si="110"/>
        <v>12</v>
      </c>
      <c r="J90" s="180">
        <f t="shared" si="111"/>
        <v>15.25</v>
      </c>
      <c r="K90" s="456">
        <f t="shared" si="112"/>
        <v>27.25</v>
      </c>
      <c r="L90" s="456"/>
      <c r="M90" s="225">
        <f t="shared" si="113"/>
        <v>0.55963302752293576</v>
      </c>
      <c r="N90" s="180">
        <f t="shared" si="114"/>
        <v>4.3819266055045869</v>
      </c>
      <c r="O90" s="180">
        <f t="shared" si="156"/>
        <v>3.8250000000000002</v>
      </c>
      <c r="P90" s="225">
        <f t="shared" si="115"/>
        <v>0.29212844036697244</v>
      </c>
      <c r="Q90" s="225">
        <f t="shared" si="116"/>
        <v>15</v>
      </c>
      <c r="R90" s="225">
        <f t="shared" si="117"/>
        <v>0.32458715596330273</v>
      </c>
      <c r="S90" s="180">
        <f t="shared" si="118"/>
        <v>18.862844857599772</v>
      </c>
      <c r="T90" s="180">
        <f t="shared" si="119"/>
        <v>15</v>
      </c>
      <c r="U90" s="225">
        <f t="shared" si="120"/>
        <v>1.2657103825136611</v>
      </c>
      <c r="V90" s="225">
        <f t="shared" si="121"/>
        <v>4.2190346083788706</v>
      </c>
      <c r="W90" s="225">
        <f t="shared" si="122"/>
        <v>3.3198960852817341</v>
      </c>
      <c r="X90" s="205">
        <f t="shared" si="123"/>
        <v>350</v>
      </c>
      <c r="Y90" s="456">
        <f t="shared" si="157"/>
        <v>132.64480609178273</v>
      </c>
      <c r="AA90" s="225">
        <f t="shared" si="124"/>
        <v>0.47968545216251629</v>
      </c>
      <c r="AB90" s="181">
        <f t="shared" si="125"/>
        <v>1.258191349934469</v>
      </c>
      <c r="AC90" s="181">
        <f t="shared" si="126"/>
        <v>0.10561881515504945</v>
      </c>
      <c r="AD90" s="181"/>
      <c r="AE90" s="181">
        <f t="shared" si="127"/>
        <v>0.76065573770491812</v>
      </c>
      <c r="AF90" s="565">
        <f t="shared" si="170"/>
        <v>2311.9797859690848</v>
      </c>
      <c r="AG90" s="548">
        <f t="shared" si="128"/>
        <v>3.8603278688524589E-2</v>
      </c>
      <c r="AI90" s="181">
        <f t="shared" si="129"/>
        <v>0.78566017129666477</v>
      </c>
      <c r="AJ90" s="181">
        <f t="shared" si="130"/>
        <v>1.2657103825136611</v>
      </c>
      <c r="AK90" s="181">
        <f t="shared" si="131"/>
        <v>1.9227484314916008</v>
      </c>
      <c r="AM90" s="565">
        <f t="shared" si="132"/>
        <v>255</v>
      </c>
      <c r="AN90" s="474">
        <f t="shared" si="133"/>
        <v>132.64480609178273</v>
      </c>
      <c r="AP90">
        <f t="shared" si="134"/>
        <v>255</v>
      </c>
      <c r="AQ90">
        <f t="shared" si="135"/>
        <v>132.64480609178273</v>
      </c>
      <c r="AS90" s="6">
        <f t="shared" si="158"/>
        <v>7.5389306936606051</v>
      </c>
      <c r="AT90" s="6">
        <f t="shared" si="136"/>
        <v>4.2190346083788706</v>
      </c>
      <c r="AU90" s="6">
        <f t="shared" si="159"/>
        <v>3.3198960852817345</v>
      </c>
      <c r="AV90" s="6">
        <f t="shared" si="137"/>
        <v>3.3198960852817341</v>
      </c>
      <c r="AW90" s="181">
        <f t="shared" si="160"/>
        <v>0.55963302752293576</v>
      </c>
      <c r="AX90" s="181">
        <f t="shared" si="138"/>
        <v>4.2499999999999991</v>
      </c>
      <c r="AY90" s="181">
        <f t="shared" si="139"/>
        <v>0.27868852459016391</v>
      </c>
      <c r="AZ90" s="181">
        <f t="shared" si="161"/>
        <v>15.249999999999998</v>
      </c>
      <c r="BA90" s="474">
        <f t="shared" si="140"/>
        <v>7.1723588342440801</v>
      </c>
      <c r="BB90" s="6">
        <f t="shared" si="141"/>
        <v>1.9596608836732459</v>
      </c>
      <c r="BC90" s="6"/>
      <c r="BD90" s="181">
        <f t="shared" si="162"/>
        <v>0.54667017913927762</v>
      </c>
      <c r="BE90" s="181">
        <f t="shared" si="142"/>
        <v>0.48493226953956103</v>
      </c>
      <c r="BF90" s="181"/>
      <c r="BG90" s="548">
        <f t="shared" si="143"/>
        <v>0.10459689966605945</v>
      </c>
      <c r="BH90" s="548">
        <f t="shared" si="144"/>
        <v>4.5749999999999999E-2</v>
      </c>
      <c r="BI90" s="548">
        <f t="shared" si="145"/>
        <v>1.6580600761472841E-3</v>
      </c>
      <c r="BJ90" s="548">
        <f t="shared" si="146"/>
        <v>5.6635808823529412E-3</v>
      </c>
      <c r="BK90">
        <f t="shared" si="147"/>
        <v>3.48E-3</v>
      </c>
      <c r="BL90" s="474">
        <f t="shared" si="163"/>
        <v>161.1485406245597</v>
      </c>
      <c r="BM90" s="548">
        <f t="shared" si="148"/>
        <v>8.9249999999999996E-2</v>
      </c>
      <c r="BN90" s="548"/>
      <c r="BP90" s="474">
        <f t="shared" si="164"/>
        <v>89.25</v>
      </c>
      <c r="BQ90" s="548">
        <f t="shared" si="149"/>
        <v>0</v>
      </c>
      <c r="BR90" s="548">
        <f t="shared" si="150"/>
        <v>0</v>
      </c>
      <c r="BS90" s="548">
        <f t="shared" si="151"/>
        <v>1.8261291279606053E-2</v>
      </c>
      <c r="BT90" s="548">
        <f t="shared" si="152"/>
        <v>0.22312499999999999</v>
      </c>
      <c r="BU90" s="474">
        <f t="shared" si="165"/>
        <v>241.38629127960604</v>
      </c>
      <c r="BV90" s="181">
        <f t="shared" si="166"/>
        <v>0.49178483190416578</v>
      </c>
      <c r="BW90" s="6">
        <f t="shared" si="167"/>
        <v>3.8250000000000002</v>
      </c>
      <c r="BX90" s="181">
        <f t="shared" si="168"/>
        <v>0.88607613048732015</v>
      </c>
      <c r="BY90" s="6">
        <f t="shared" si="169"/>
        <v>88.60761304873202</v>
      </c>
      <c r="CB90" s="583">
        <f t="shared" si="153"/>
        <v>-50</v>
      </c>
      <c r="CC90">
        <f t="shared" si="154"/>
        <v>-50</v>
      </c>
    </row>
    <row r="91" spans="5:81" x14ac:dyDescent="0.2">
      <c r="E91" s="178">
        <v>86</v>
      </c>
      <c r="F91" s="225">
        <f t="shared" si="155"/>
        <v>0.25800000000000001</v>
      </c>
      <c r="G91" s="225"/>
      <c r="H91" s="225">
        <f t="shared" si="109"/>
        <v>3.87</v>
      </c>
      <c r="I91" s="561">
        <f t="shared" si="110"/>
        <v>12</v>
      </c>
      <c r="J91" s="180">
        <f t="shared" si="111"/>
        <v>15.25</v>
      </c>
      <c r="K91" s="456">
        <f t="shared" si="112"/>
        <v>27.25</v>
      </c>
      <c r="L91" s="456"/>
      <c r="M91" s="225">
        <f t="shared" si="113"/>
        <v>0.55963302752293576</v>
      </c>
      <c r="N91" s="180">
        <f t="shared" si="114"/>
        <v>4.3819266055045869</v>
      </c>
      <c r="O91" s="180">
        <f t="shared" si="156"/>
        <v>3.87</v>
      </c>
      <c r="P91" s="225">
        <f t="shared" si="115"/>
        <v>0.29212844036697244</v>
      </c>
      <c r="Q91" s="225">
        <f t="shared" si="116"/>
        <v>15</v>
      </c>
      <c r="R91" s="225">
        <f t="shared" si="117"/>
        <v>0.32458715596330273</v>
      </c>
      <c r="S91" s="180">
        <f t="shared" si="118"/>
        <v>18.508762471142756</v>
      </c>
      <c r="T91" s="180">
        <f t="shared" si="119"/>
        <v>15</v>
      </c>
      <c r="U91" s="225">
        <f t="shared" si="120"/>
        <v>1.2806010928961749</v>
      </c>
      <c r="V91" s="225">
        <f t="shared" si="121"/>
        <v>4.268670309653916</v>
      </c>
      <c r="W91" s="225">
        <f t="shared" si="122"/>
        <v>3.3589536862850489</v>
      </c>
      <c r="X91" s="205">
        <f t="shared" si="123"/>
        <v>350</v>
      </c>
      <c r="Y91" s="456">
        <f t="shared" si="157"/>
        <v>131.10242462559921</v>
      </c>
      <c r="AA91" s="225">
        <f t="shared" si="124"/>
        <v>0.47968545216251629</v>
      </c>
      <c r="AB91" s="181">
        <f t="shared" si="125"/>
        <v>1.258191349934469</v>
      </c>
      <c r="AC91" s="181">
        <f t="shared" si="126"/>
        <v>0.10561881515504945</v>
      </c>
      <c r="AD91" s="181"/>
      <c r="AE91" s="181">
        <f t="shared" si="127"/>
        <v>0.76065573770491812</v>
      </c>
      <c r="AF91" s="565">
        <f t="shared" si="170"/>
        <v>2339.1795481569561</v>
      </c>
      <c r="AG91" s="548">
        <f t="shared" si="128"/>
        <v>3.8603278688524589E-2</v>
      </c>
      <c r="AI91" s="181">
        <f t="shared" si="129"/>
        <v>0.7902681883536814</v>
      </c>
      <c r="AJ91" s="181">
        <f t="shared" si="130"/>
        <v>1.2806010928961749</v>
      </c>
      <c r="AK91" s="181">
        <f t="shared" si="131"/>
        <v>1.9337785873304998</v>
      </c>
      <c r="AM91" s="565">
        <f t="shared" si="132"/>
        <v>258</v>
      </c>
      <c r="AN91" s="474">
        <f t="shared" si="133"/>
        <v>131.10242462559921</v>
      </c>
      <c r="AP91">
        <f t="shared" si="134"/>
        <v>258</v>
      </c>
      <c r="AQ91">
        <f t="shared" si="135"/>
        <v>131.10242462559921</v>
      </c>
      <c r="AS91" s="6">
        <f t="shared" si="158"/>
        <v>7.6276239959389649</v>
      </c>
      <c r="AT91" s="6">
        <f t="shared" si="136"/>
        <v>4.268670309653916</v>
      </c>
      <c r="AU91" s="6">
        <f t="shared" si="159"/>
        <v>3.3589536862850489</v>
      </c>
      <c r="AV91" s="6">
        <f t="shared" si="137"/>
        <v>3.3589536862850489</v>
      </c>
      <c r="AW91" s="181">
        <f t="shared" si="160"/>
        <v>0.55963302752293576</v>
      </c>
      <c r="AX91" s="181">
        <f t="shared" si="138"/>
        <v>4.3000000000000007</v>
      </c>
      <c r="AY91" s="181">
        <f t="shared" si="139"/>
        <v>0.28196721311475409</v>
      </c>
      <c r="AZ91" s="181">
        <f t="shared" si="161"/>
        <v>15.250000000000004</v>
      </c>
      <c r="BA91" s="474">
        <f t="shared" si="140"/>
        <v>7.342112932604735</v>
      </c>
      <c r="BB91" s="6">
        <f t="shared" si="141"/>
        <v>2.0060417848646819</v>
      </c>
      <c r="BC91" s="6"/>
      <c r="BD91" s="181">
        <f t="shared" si="162"/>
        <v>0.55310159301150452</v>
      </c>
      <c r="BE91" s="181">
        <f t="shared" si="142"/>
        <v>0.49063735506355588</v>
      </c>
      <c r="BF91" s="181"/>
      <c r="BG91" s="548">
        <f t="shared" si="143"/>
        <v>0.1070724802671524</v>
      </c>
      <c r="BH91" s="548">
        <f t="shared" si="144"/>
        <v>4.5749999999999999E-2</v>
      </c>
      <c r="BI91" s="548">
        <f t="shared" si="145"/>
        <v>1.63878030781999E-3</v>
      </c>
      <c r="BJ91" s="548">
        <f t="shared" si="146"/>
        <v>5.5977252906976747E-3</v>
      </c>
      <c r="BK91">
        <f t="shared" si="147"/>
        <v>3.48E-3</v>
      </c>
      <c r="BL91" s="474">
        <f t="shared" si="163"/>
        <v>163.5389858656701</v>
      </c>
      <c r="BM91" s="548">
        <f t="shared" si="148"/>
        <v>9.0299999999999991E-2</v>
      </c>
      <c r="BN91" s="548"/>
      <c r="BP91" s="474">
        <f t="shared" si="164"/>
        <v>90.3</v>
      </c>
      <c r="BQ91" s="548">
        <f t="shared" si="149"/>
        <v>0</v>
      </c>
      <c r="BR91" s="548">
        <f t="shared" si="150"/>
        <v>0</v>
      </c>
      <c r="BS91" s="548">
        <f t="shared" si="151"/>
        <v>1.8261291279606049E-2</v>
      </c>
      <c r="BT91" s="548">
        <f t="shared" si="152"/>
        <v>0.22575000000000003</v>
      </c>
      <c r="BU91" s="474">
        <f t="shared" si="165"/>
        <v>244.01129127960607</v>
      </c>
      <c r="BV91" s="181">
        <f t="shared" si="166"/>
        <v>0.49785027714527619</v>
      </c>
      <c r="BW91" s="6">
        <f t="shared" si="167"/>
        <v>3.87</v>
      </c>
      <c r="BX91" s="181">
        <f t="shared" si="168"/>
        <v>0.88601938126169943</v>
      </c>
      <c r="BY91" s="6">
        <f t="shared" si="169"/>
        <v>88.601938126169941</v>
      </c>
      <c r="CB91" s="583">
        <f t="shared" si="153"/>
        <v>-50</v>
      </c>
      <c r="CC91">
        <f t="shared" si="154"/>
        <v>-50</v>
      </c>
    </row>
    <row r="92" spans="5:81" x14ac:dyDescent="0.2">
      <c r="E92" s="178">
        <v>87</v>
      </c>
      <c r="F92" s="225">
        <f t="shared" si="155"/>
        <v>0.26100000000000001</v>
      </c>
      <c r="G92" s="225"/>
      <c r="H92" s="225">
        <f t="shared" si="109"/>
        <v>3.915</v>
      </c>
      <c r="I92" s="561">
        <f t="shared" si="110"/>
        <v>12</v>
      </c>
      <c r="J92" s="180">
        <f t="shared" si="111"/>
        <v>15.25</v>
      </c>
      <c r="K92" s="456">
        <f t="shared" si="112"/>
        <v>27.25</v>
      </c>
      <c r="L92" s="456"/>
      <c r="M92" s="225">
        <f t="shared" si="113"/>
        <v>0.55963302752293576</v>
      </c>
      <c r="N92" s="180">
        <f t="shared" si="114"/>
        <v>4.3819266055045869</v>
      </c>
      <c r="O92" s="180">
        <f t="shared" si="156"/>
        <v>3.915</v>
      </c>
      <c r="P92" s="225">
        <f t="shared" si="115"/>
        <v>0.29212844036697244</v>
      </c>
      <c r="Q92" s="225">
        <f t="shared" si="116"/>
        <v>15</v>
      </c>
      <c r="R92" s="225">
        <f t="shared" si="117"/>
        <v>0.32458715596330273</v>
      </c>
      <c r="S92" s="180">
        <f t="shared" si="118"/>
        <v>18.162928994129963</v>
      </c>
      <c r="T92" s="180">
        <f t="shared" si="119"/>
        <v>15</v>
      </c>
      <c r="U92" s="225">
        <f t="shared" si="120"/>
        <v>1.2954918032786884</v>
      </c>
      <c r="V92" s="225">
        <f t="shared" si="121"/>
        <v>4.3183060109289615</v>
      </c>
      <c r="W92" s="225">
        <f t="shared" si="122"/>
        <v>3.3980112872883632</v>
      </c>
      <c r="X92" s="205">
        <f t="shared" si="123"/>
        <v>350</v>
      </c>
      <c r="Y92" s="456">
        <f t="shared" si="157"/>
        <v>129.59550020461532</v>
      </c>
      <c r="AA92" s="225">
        <f t="shared" si="124"/>
        <v>0.47968545216251629</v>
      </c>
      <c r="AB92" s="181">
        <f t="shared" si="125"/>
        <v>1.258191349934469</v>
      </c>
      <c r="AC92" s="181">
        <f t="shared" si="126"/>
        <v>0.10561881515504945</v>
      </c>
      <c r="AD92" s="181"/>
      <c r="AE92" s="181">
        <f t="shared" si="127"/>
        <v>0.76065573770491812</v>
      </c>
      <c r="AF92" s="565">
        <f t="shared" si="170"/>
        <v>2366.3793103448279</v>
      </c>
      <c r="AG92" s="548">
        <f t="shared" si="128"/>
        <v>3.8603278688524589E-2</v>
      </c>
      <c r="AI92" s="181">
        <f t="shared" si="129"/>
        <v>0.79484949159304008</v>
      </c>
      <c r="AJ92" s="181">
        <f t="shared" si="130"/>
        <v>1.2954918032786884</v>
      </c>
      <c r="AK92" s="181">
        <f t="shared" si="131"/>
        <v>1.9448087431693988</v>
      </c>
      <c r="AM92" s="565">
        <f t="shared" si="132"/>
        <v>261</v>
      </c>
      <c r="AN92" s="474">
        <f t="shared" si="133"/>
        <v>129.59550020461532</v>
      </c>
      <c r="AP92">
        <f t="shared" si="134"/>
        <v>261</v>
      </c>
      <c r="AQ92">
        <f t="shared" si="135"/>
        <v>129.59550020461532</v>
      </c>
      <c r="AS92" s="6">
        <f t="shared" si="158"/>
        <v>7.7163172982173247</v>
      </c>
      <c r="AT92" s="6">
        <f t="shared" si="136"/>
        <v>4.3183060109289615</v>
      </c>
      <c r="AU92" s="6">
        <f t="shared" si="159"/>
        <v>3.3980112872883632</v>
      </c>
      <c r="AV92" s="6">
        <f t="shared" si="137"/>
        <v>3.3980112872883632</v>
      </c>
      <c r="AW92" s="181">
        <f t="shared" si="160"/>
        <v>0.55963302752293576</v>
      </c>
      <c r="AX92" s="181">
        <f t="shared" si="138"/>
        <v>4.3499999999999996</v>
      </c>
      <c r="AY92" s="181">
        <f t="shared" si="139"/>
        <v>0.28524590163934427</v>
      </c>
      <c r="AZ92" s="181">
        <f t="shared" si="161"/>
        <v>15.249999999999998</v>
      </c>
      <c r="BA92" s="474">
        <f t="shared" si="140"/>
        <v>7.5138524590163929</v>
      </c>
      <c r="BB92" s="6">
        <f t="shared" si="141"/>
        <v>2.0529651527367192</v>
      </c>
      <c r="BC92" s="6"/>
      <c r="BD92" s="181">
        <f t="shared" si="162"/>
        <v>0.5595330068837312</v>
      </c>
      <c r="BE92" s="181">
        <f t="shared" si="142"/>
        <v>0.49634244058755067</v>
      </c>
      <c r="BF92" s="181"/>
      <c r="BG92" s="548">
        <f t="shared" si="143"/>
        <v>0.10957701502732235</v>
      </c>
      <c r="BH92" s="548">
        <f t="shared" si="144"/>
        <v>4.5749999999999999E-2</v>
      </c>
      <c r="BI92" s="548">
        <f t="shared" si="145"/>
        <v>1.6199437525576915E-3</v>
      </c>
      <c r="BJ92" s="548">
        <f t="shared" si="146"/>
        <v>5.5333836206896553E-3</v>
      </c>
      <c r="BK92">
        <f t="shared" si="147"/>
        <v>3.48E-3</v>
      </c>
      <c r="BL92" s="474">
        <f t="shared" si="163"/>
        <v>165.96034240056969</v>
      </c>
      <c r="BM92" s="548">
        <f t="shared" si="148"/>
        <v>9.1350000000000001E-2</v>
      </c>
      <c r="BN92" s="548"/>
      <c r="BP92" s="474">
        <f t="shared" si="164"/>
        <v>91.35</v>
      </c>
      <c r="BQ92" s="548">
        <f t="shared" si="149"/>
        <v>0</v>
      </c>
      <c r="BR92" s="548">
        <f t="shared" si="150"/>
        <v>0</v>
      </c>
      <c r="BS92" s="548">
        <f t="shared" si="151"/>
        <v>1.8261291279606056E-2</v>
      </c>
      <c r="BT92" s="548">
        <f t="shared" si="152"/>
        <v>0.22837499999999999</v>
      </c>
      <c r="BU92" s="474">
        <f t="shared" si="165"/>
        <v>246.63629127960604</v>
      </c>
      <c r="BV92" s="181">
        <f t="shared" si="166"/>
        <v>0.50394663368017578</v>
      </c>
      <c r="BW92" s="6">
        <f t="shared" si="167"/>
        <v>3.915</v>
      </c>
      <c r="BX92" s="181">
        <f t="shared" si="168"/>
        <v>0.88595774616529366</v>
      </c>
      <c r="BY92" s="6">
        <f t="shared" si="169"/>
        <v>88.595774616529368</v>
      </c>
      <c r="CB92" s="583">
        <f t="shared" si="153"/>
        <v>-50</v>
      </c>
      <c r="CC92">
        <f t="shared" si="154"/>
        <v>-50</v>
      </c>
    </row>
    <row r="93" spans="5:81" x14ac:dyDescent="0.2">
      <c r="E93" s="178">
        <v>88</v>
      </c>
      <c r="F93" s="225">
        <f t="shared" si="155"/>
        <v>0.26400000000000001</v>
      </c>
      <c r="G93" s="225"/>
      <c r="H93" s="225">
        <f t="shared" si="109"/>
        <v>3.96</v>
      </c>
      <c r="I93" s="561">
        <f t="shared" si="110"/>
        <v>12</v>
      </c>
      <c r="J93" s="180">
        <f t="shared" si="111"/>
        <v>15.25</v>
      </c>
      <c r="K93" s="456">
        <f t="shared" si="112"/>
        <v>27.25</v>
      </c>
      <c r="L93" s="456"/>
      <c r="M93" s="225">
        <f t="shared" si="113"/>
        <v>0.55963302752293576</v>
      </c>
      <c r="N93" s="180">
        <f t="shared" si="114"/>
        <v>4.3819266055045869</v>
      </c>
      <c r="O93" s="180">
        <f t="shared" si="156"/>
        <v>3.96</v>
      </c>
      <c r="P93" s="225">
        <f t="shared" si="115"/>
        <v>0.29212844036697244</v>
      </c>
      <c r="Q93" s="225">
        <f t="shared" si="116"/>
        <v>15</v>
      </c>
      <c r="R93" s="225">
        <f t="shared" si="117"/>
        <v>0.32458715596330273</v>
      </c>
      <c r="S93" s="180">
        <f t="shared" si="118"/>
        <v>17.8250654121751</v>
      </c>
      <c r="T93" s="180">
        <f t="shared" si="119"/>
        <v>15</v>
      </c>
      <c r="U93" s="225">
        <f t="shared" si="120"/>
        <v>1.3103825136612022</v>
      </c>
      <c r="V93" s="225">
        <f t="shared" si="121"/>
        <v>4.3679417122040078</v>
      </c>
      <c r="W93" s="225">
        <f t="shared" si="122"/>
        <v>3.437068888291678</v>
      </c>
      <c r="X93" s="205">
        <f t="shared" si="123"/>
        <v>350</v>
      </c>
      <c r="Y93" s="456">
        <f t="shared" si="157"/>
        <v>128.12282406592649</v>
      </c>
      <c r="AA93" s="225">
        <f t="shared" si="124"/>
        <v>0.47968545216251629</v>
      </c>
      <c r="AB93" s="181">
        <f t="shared" si="125"/>
        <v>1.258191349934469</v>
      </c>
      <c r="AC93" s="181">
        <f t="shared" si="126"/>
        <v>0.10561881515504945</v>
      </c>
      <c r="AD93" s="181"/>
      <c r="AE93" s="181">
        <f t="shared" si="127"/>
        <v>0.76065573770491812</v>
      </c>
      <c r="AF93" s="565">
        <f t="shared" si="170"/>
        <v>2393.5790725326992</v>
      </c>
      <c r="AG93" s="548">
        <f t="shared" si="128"/>
        <v>3.8603278688524589E-2</v>
      </c>
      <c r="AI93" s="181">
        <f t="shared" si="129"/>
        <v>0.79940454029710084</v>
      </c>
      <c r="AJ93" s="181">
        <f t="shared" si="130"/>
        <v>1.3103825136612022</v>
      </c>
      <c r="AK93" s="181">
        <f t="shared" si="131"/>
        <v>1.9558388990082978</v>
      </c>
      <c r="AM93" s="565">
        <f t="shared" si="132"/>
        <v>264</v>
      </c>
      <c r="AN93" s="474">
        <f t="shared" si="133"/>
        <v>128.12282406592649</v>
      </c>
      <c r="AP93">
        <f t="shared" si="134"/>
        <v>264</v>
      </c>
      <c r="AQ93">
        <f t="shared" si="135"/>
        <v>128.12282406592649</v>
      </c>
      <c r="AS93" s="6">
        <f t="shared" si="158"/>
        <v>7.8050106004956854</v>
      </c>
      <c r="AT93" s="6">
        <f t="shared" si="136"/>
        <v>4.3679417122040078</v>
      </c>
      <c r="AU93" s="6">
        <f t="shared" si="159"/>
        <v>3.4370688882916776</v>
      </c>
      <c r="AV93" s="6">
        <f t="shared" si="137"/>
        <v>3.437068888291678</v>
      </c>
      <c r="AW93" s="181">
        <f t="shared" si="160"/>
        <v>0.55963302752293587</v>
      </c>
      <c r="AX93" s="181">
        <f t="shared" si="138"/>
        <v>4.3999999999999995</v>
      </c>
      <c r="AY93" s="181">
        <f t="shared" si="139"/>
        <v>0.28852459016393439</v>
      </c>
      <c r="AZ93" s="181">
        <f t="shared" si="161"/>
        <v>15.25</v>
      </c>
      <c r="BA93" s="474">
        <f t="shared" si="140"/>
        <v>7.6875774134790529</v>
      </c>
      <c r="BB93" s="6">
        <f t="shared" si="141"/>
        <v>2.1004309872893581</v>
      </c>
      <c r="BC93" s="6"/>
      <c r="BD93" s="181">
        <f t="shared" si="162"/>
        <v>0.56596442075595821</v>
      </c>
      <c r="BE93" s="181">
        <f t="shared" si="142"/>
        <v>0.50204752611154557</v>
      </c>
      <c r="BF93" s="181"/>
      <c r="BG93" s="548">
        <f t="shared" si="143"/>
        <v>0.11211050394656955</v>
      </c>
      <c r="BH93" s="548">
        <f t="shared" si="144"/>
        <v>4.5749999999999992E-2</v>
      </c>
      <c r="BI93" s="548">
        <f t="shared" si="145"/>
        <v>1.601535300824081E-3</v>
      </c>
      <c r="BJ93" s="548">
        <f t="shared" si="146"/>
        <v>5.4705042613636358E-3</v>
      </c>
      <c r="BK93">
        <f t="shared" si="147"/>
        <v>3.48E-3</v>
      </c>
      <c r="BL93" s="474">
        <f t="shared" si="163"/>
        <v>168.41254350875727</v>
      </c>
      <c r="BM93" s="548">
        <f t="shared" si="148"/>
        <v>9.2399999999999996E-2</v>
      </c>
      <c r="BN93" s="548"/>
      <c r="BP93" s="474">
        <f t="shared" si="164"/>
        <v>92.399999999999991</v>
      </c>
      <c r="BQ93" s="548">
        <f t="shared" si="149"/>
        <v>0</v>
      </c>
      <c r="BR93" s="548">
        <f t="shared" si="150"/>
        <v>0</v>
      </c>
      <c r="BS93" s="548">
        <f t="shared" si="151"/>
        <v>1.8261291279606063E-2</v>
      </c>
      <c r="BT93" s="548">
        <f t="shared" si="152"/>
        <v>0.23100000000000001</v>
      </c>
      <c r="BU93" s="474">
        <f t="shared" si="165"/>
        <v>249.2612912796061</v>
      </c>
      <c r="BV93" s="181">
        <f t="shared" si="166"/>
        <v>0.51007383478836332</v>
      </c>
      <c r="BW93" s="6">
        <f t="shared" si="167"/>
        <v>3.96</v>
      </c>
      <c r="BX93" s="181">
        <f t="shared" si="168"/>
        <v>0.88589140724730053</v>
      </c>
      <c r="BY93" s="6">
        <f t="shared" si="169"/>
        <v>88.589140724730058</v>
      </c>
      <c r="CB93" s="583">
        <f t="shared" si="153"/>
        <v>-50</v>
      </c>
      <c r="CC93">
        <f t="shared" si="154"/>
        <v>-50</v>
      </c>
    </row>
    <row r="94" spans="5:81" x14ac:dyDescent="0.2">
      <c r="E94" s="178">
        <v>89</v>
      </c>
      <c r="F94" s="225">
        <f t="shared" si="155"/>
        <v>0.26700000000000002</v>
      </c>
      <c r="G94" s="225"/>
      <c r="H94" s="225">
        <f t="shared" si="109"/>
        <v>4.0049999999999999</v>
      </c>
      <c r="I94" s="561">
        <f t="shared" si="110"/>
        <v>12</v>
      </c>
      <c r="J94" s="180">
        <f t="shared" si="111"/>
        <v>15.25</v>
      </c>
      <c r="K94" s="456">
        <f t="shared" si="112"/>
        <v>27.25</v>
      </c>
      <c r="L94" s="456"/>
      <c r="M94" s="225">
        <f t="shared" si="113"/>
        <v>0.55963302752293576</v>
      </c>
      <c r="N94" s="180">
        <f t="shared" si="114"/>
        <v>4.3819266055045869</v>
      </c>
      <c r="O94" s="180">
        <f t="shared" si="156"/>
        <v>4.0049999999999999</v>
      </c>
      <c r="P94" s="225">
        <f t="shared" si="115"/>
        <v>0.29212844036697244</v>
      </c>
      <c r="Q94" s="225">
        <f t="shared" si="116"/>
        <v>15</v>
      </c>
      <c r="R94" s="225">
        <f t="shared" si="117"/>
        <v>0.32458715596330273</v>
      </c>
      <c r="S94" s="180">
        <f t="shared" si="118"/>
        <v>17.494905306331031</v>
      </c>
      <c r="T94" s="180">
        <f t="shared" si="119"/>
        <v>15</v>
      </c>
      <c r="U94" s="225">
        <f t="shared" si="120"/>
        <v>1.3252732240437157</v>
      </c>
      <c r="V94" s="225">
        <f t="shared" si="121"/>
        <v>4.4175774134790533</v>
      </c>
      <c r="W94" s="225">
        <f t="shared" si="122"/>
        <v>3.4761264892949923</v>
      </c>
      <c r="X94" s="205">
        <f t="shared" si="123"/>
        <v>350</v>
      </c>
      <c r="Y94" s="456">
        <f t="shared" si="157"/>
        <v>126.68324177305091</v>
      </c>
      <c r="AA94" s="225">
        <f t="shared" si="124"/>
        <v>0.47968545216251629</v>
      </c>
      <c r="AB94" s="181">
        <f t="shared" si="125"/>
        <v>1.258191349934469</v>
      </c>
      <c r="AC94" s="181">
        <f t="shared" si="126"/>
        <v>0.10561881515504945</v>
      </c>
      <c r="AD94" s="181"/>
      <c r="AE94" s="181">
        <f t="shared" si="127"/>
        <v>0.76065573770491812</v>
      </c>
      <c r="AF94" s="565">
        <f t="shared" si="170"/>
        <v>2420.778834720571</v>
      </c>
      <c r="AG94" s="548">
        <f t="shared" si="128"/>
        <v>3.8603278688524589E-2</v>
      </c>
      <c r="AI94" s="181">
        <f t="shared" si="129"/>
        <v>0.80393378073664989</v>
      </c>
      <c r="AJ94" s="181">
        <f t="shared" si="130"/>
        <v>1.3252732240437157</v>
      </c>
      <c r="AK94" s="181">
        <f t="shared" si="131"/>
        <v>1.9668690548471968</v>
      </c>
      <c r="AM94" s="565">
        <f t="shared" si="132"/>
        <v>267</v>
      </c>
      <c r="AN94" s="474">
        <f t="shared" si="133"/>
        <v>126.68324177305091</v>
      </c>
      <c r="AP94">
        <f t="shared" si="134"/>
        <v>267</v>
      </c>
      <c r="AQ94">
        <f t="shared" si="135"/>
        <v>126.68324177305091</v>
      </c>
      <c r="AS94" s="6">
        <f t="shared" si="158"/>
        <v>7.893703902774047</v>
      </c>
      <c r="AT94" s="6">
        <f t="shared" si="136"/>
        <v>4.4175774134790533</v>
      </c>
      <c r="AU94" s="6">
        <f t="shared" si="159"/>
        <v>3.4761264892949937</v>
      </c>
      <c r="AV94" s="6">
        <f t="shared" si="137"/>
        <v>3.4761264892949923</v>
      </c>
      <c r="AW94" s="181">
        <f t="shared" si="160"/>
        <v>0.55963302752293576</v>
      </c>
      <c r="AX94" s="181">
        <f t="shared" si="138"/>
        <v>4.4499999999999993</v>
      </c>
      <c r="AY94" s="181">
        <f t="shared" si="139"/>
        <v>0.29180327868852457</v>
      </c>
      <c r="AZ94" s="181">
        <f t="shared" si="161"/>
        <v>15.249999999999998</v>
      </c>
      <c r="BA94" s="474">
        <f t="shared" si="140"/>
        <v>7.8632877959927141</v>
      </c>
      <c r="BB94" s="6">
        <f t="shared" si="141"/>
        <v>2.1484392885226002</v>
      </c>
      <c r="BC94" s="6"/>
      <c r="BD94" s="181">
        <f t="shared" si="162"/>
        <v>0.57239583462818489</v>
      </c>
      <c r="BE94" s="181">
        <f t="shared" si="142"/>
        <v>0.50775261163554031</v>
      </c>
      <c r="BF94" s="181"/>
      <c r="BG94" s="548">
        <f t="shared" si="143"/>
        <v>0.11467294702489372</v>
      </c>
      <c r="BH94" s="548">
        <f t="shared" si="144"/>
        <v>4.5749999999999992E-2</v>
      </c>
      <c r="BI94" s="548">
        <f t="shared" si="145"/>
        <v>1.5835405221631361E-3</v>
      </c>
      <c r="BJ94" s="548">
        <f t="shared" si="146"/>
        <v>5.4090379213483138E-3</v>
      </c>
      <c r="BK94">
        <f t="shared" si="147"/>
        <v>3.48E-3</v>
      </c>
      <c r="BL94" s="474">
        <f t="shared" si="163"/>
        <v>170.89552546840517</v>
      </c>
      <c r="BM94" s="548">
        <f t="shared" si="148"/>
        <v>9.3450000000000005E-2</v>
      </c>
      <c r="BN94" s="548"/>
      <c r="BP94" s="474">
        <f t="shared" si="164"/>
        <v>93.45</v>
      </c>
      <c r="BQ94" s="548">
        <f t="shared" si="149"/>
        <v>0</v>
      </c>
      <c r="BR94" s="548">
        <f t="shared" si="150"/>
        <v>0</v>
      </c>
      <c r="BS94" s="548">
        <f t="shared" si="151"/>
        <v>1.8261291279606039E-2</v>
      </c>
      <c r="BT94" s="548">
        <f t="shared" si="152"/>
        <v>0.23362499999999994</v>
      </c>
      <c r="BU94" s="474">
        <f t="shared" si="165"/>
        <v>251.88629127960598</v>
      </c>
      <c r="BV94" s="181">
        <f t="shared" si="166"/>
        <v>0.51623181674801111</v>
      </c>
      <c r="BW94" s="6">
        <f t="shared" si="167"/>
        <v>4.0049999999999999</v>
      </c>
      <c r="BX94" s="181">
        <f t="shared" si="168"/>
        <v>0.88582053792602888</v>
      </c>
      <c r="BY94" s="6">
        <f t="shared" si="169"/>
        <v>88.582053792602892</v>
      </c>
      <c r="CB94" s="583">
        <f t="shared" si="153"/>
        <v>-50</v>
      </c>
      <c r="CC94">
        <f t="shared" si="154"/>
        <v>-50</v>
      </c>
    </row>
    <row r="95" spans="5:81" x14ac:dyDescent="0.2">
      <c r="E95" s="178">
        <v>90</v>
      </c>
      <c r="F95" s="225">
        <f t="shared" si="155"/>
        <v>0.27</v>
      </c>
      <c r="G95" s="225"/>
      <c r="H95" s="225">
        <f t="shared" si="109"/>
        <v>4.0500000000000007</v>
      </c>
      <c r="I95" s="561">
        <f t="shared" si="110"/>
        <v>12</v>
      </c>
      <c r="J95" s="180">
        <f t="shared" si="111"/>
        <v>15.25</v>
      </c>
      <c r="K95" s="456">
        <f t="shared" si="112"/>
        <v>27.25</v>
      </c>
      <c r="L95" s="456"/>
      <c r="M95" s="225">
        <f t="shared" si="113"/>
        <v>0.55963302752293576</v>
      </c>
      <c r="N95" s="180">
        <f t="shared" si="114"/>
        <v>4.3819266055045869</v>
      </c>
      <c r="O95" s="180">
        <f t="shared" si="156"/>
        <v>4.0500000000000007</v>
      </c>
      <c r="P95" s="225">
        <f t="shared" si="115"/>
        <v>0.29212844036697244</v>
      </c>
      <c r="Q95" s="225">
        <f t="shared" si="116"/>
        <v>15</v>
      </c>
      <c r="R95" s="225">
        <f t="shared" si="117"/>
        <v>0.32458715596330273</v>
      </c>
      <c r="S95" s="180">
        <f t="shared" si="118"/>
        <v>17.172194154956454</v>
      </c>
      <c r="T95" s="180">
        <f t="shared" si="119"/>
        <v>15</v>
      </c>
      <c r="U95" s="225">
        <f t="shared" si="120"/>
        <v>1.3401639344262297</v>
      </c>
      <c r="V95" s="225">
        <f t="shared" si="121"/>
        <v>4.4672131147540988</v>
      </c>
      <c r="W95" s="225">
        <f t="shared" si="122"/>
        <v>3.5151840902983076</v>
      </c>
      <c r="X95" s="205">
        <f t="shared" si="123"/>
        <v>350</v>
      </c>
      <c r="Y95" s="456">
        <f t="shared" si="157"/>
        <v>125.2756501977948</v>
      </c>
      <c r="AA95" s="225">
        <f t="shared" si="124"/>
        <v>0.47968545216251629</v>
      </c>
      <c r="AB95" s="181">
        <f t="shared" si="125"/>
        <v>1.258191349934469</v>
      </c>
      <c r="AC95" s="181">
        <f t="shared" si="126"/>
        <v>0.10561881515504945</v>
      </c>
      <c r="AD95" s="181"/>
      <c r="AE95" s="181">
        <f t="shared" si="127"/>
        <v>0.76065573770491812</v>
      </c>
      <c r="AF95" s="565">
        <f t="shared" si="170"/>
        <v>2447.9785969084423</v>
      </c>
      <c r="AG95" s="548">
        <f t="shared" si="128"/>
        <v>3.8603278688524589E-2</v>
      </c>
      <c r="AI95" s="181">
        <f t="shared" si="129"/>
        <v>0.80843764668119489</v>
      </c>
      <c r="AJ95" s="181">
        <f t="shared" si="130"/>
        <v>1.3401639344262297</v>
      </c>
      <c r="AK95" s="181">
        <f t="shared" si="131"/>
        <v>1.977899210686096</v>
      </c>
      <c r="AM95" s="565">
        <f t="shared" si="132"/>
        <v>270</v>
      </c>
      <c r="AN95" s="474">
        <f t="shared" si="133"/>
        <v>125.2756501977948</v>
      </c>
      <c r="AP95">
        <f t="shared" si="134"/>
        <v>270</v>
      </c>
      <c r="AQ95">
        <f t="shared" si="135"/>
        <v>125.2756501977948</v>
      </c>
      <c r="AS95" s="6">
        <f t="shared" si="158"/>
        <v>7.9823972050524041</v>
      </c>
      <c r="AT95" s="6">
        <f t="shared" si="136"/>
        <v>4.4672131147540988</v>
      </c>
      <c r="AU95" s="6">
        <f t="shared" si="159"/>
        <v>3.5151840902983054</v>
      </c>
      <c r="AV95" s="6">
        <f t="shared" si="137"/>
        <v>3.5151840902983076</v>
      </c>
      <c r="AW95" s="181">
        <f t="shared" si="160"/>
        <v>0.55963302752293587</v>
      </c>
      <c r="AX95" s="181">
        <f t="shared" si="138"/>
        <v>4.5000000000000018</v>
      </c>
      <c r="AY95" s="181">
        <f t="shared" si="139"/>
        <v>0.29508196721311475</v>
      </c>
      <c r="AZ95" s="181">
        <f t="shared" si="161"/>
        <v>15.250000000000007</v>
      </c>
      <c r="BA95" s="474">
        <f t="shared" si="140"/>
        <v>8.0409836065573774</v>
      </c>
      <c r="BB95" s="6">
        <f t="shared" si="141"/>
        <v>2.1969900564364409</v>
      </c>
      <c r="BC95" s="6"/>
      <c r="BD95" s="181">
        <f t="shared" si="162"/>
        <v>0.5788272485004119</v>
      </c>
      <c r="BE95" s="181">
        <f t="shared" si="142"/>
        <v>0.51345769715953538</v>
      </c>
      <c r="BF95" s="181"/>
      <c r="BG95" s="548">
        <f t="shared" si="143"/>
        <v>0.11726434426229515</v>
      </c>
      <c r="BH95" s="548">
        <f t="shared" si="144"/>
        <v>4.5750000000000013E-2</v>
      </c>
      <c r="BI95" s="548">
        <f t="shared" si="145"/>
        <v>1.5659456274724349E-3</v>
      </c>
      <c r="BJ95" s="548">
        <f t="shared" si="146"/>
        <v>5.3489374999999995E-3</v>
      </c>
      <c r="BK95">
        <f t="shared" si="147"/>
        <v>3.48E-3</v>
      </c>
      <c r="BL95" s="474">
        <f t="shared" si="163"/>
        <v>173.40922738976764</v>
      </c>
      <c r="BM95" s="548">
        <f t="shared" si="148"/>
        <v>9.4500000000000001E-2</v>
      </c>
      <c r="BN95" s="548"/>
      <c r="BP95" s="474">
        <f t="shared" si="164"/>
        <v>94.5</v>
      </c>
      <c r="BQ95" s="548">
        <f t="shared" si="149"/>
        <v>0</v>
      </c>
      <c r="BR95" s="548">
        <f t="shared" si="150"/>
        <v>0</v>
      </c>
      <c r="BS95" s="548">
        <f t="shared" si="151"/>
        <v>1.8261291279606091E-2</v>
      </c>
      <c r="BT95" s="548">
        <f t="shared" si="152"/>
        <v>0.2362500000000001</v>
      </c>
      <c r="BU95" s="474">
        <f t="shared" si="165"/>
        <v>254.51129127960621</v>
      </c>
      <c r="BV95" s="181">
        <f t="shared" si="166"/>
        <v>0.52242051866937378</v>
      </c>
      <c r="BW95" s="6">
        <f t="shared" si="167"/>
        <v>4.0500000000000007</v>
      </c>
      <c r="BX95" s="181">
        <f t="shared" si="168"/>
        <v>0.88574530349159486</v>
      </c>
      <c r="BY95" s="6">
        <f t="shared" si="169"/>
        <v>88.574530349159488</v>
      </c>
      <c r="CB95" s="583">
        <f t="shared" si="153"/>
        <v>-50</v>
      </c>
      <c r="CC95">
        <f t="shared" si="154"/>
        <v>-50</v>
      </c>
    </row>
    <row r="96" spans="5:81" x14ac:dyDescent="0.2">
      <c r="E96" s="178">
        <v>91</v>
      </c>
      <c r="F96" s="225">
        <f t="shared" si="155"/>
        <v>0.27300000000000002</v>
      </c>
      <c r="G96" s="225"/>
      <c r="H96" s="225">
        <f t="shared" si="109"/>
        <v>4.0950000000000006</v>
      </c>
      <c r="I96" s="561">
        <f t="shared" si="110"/>
        <v>12</v>
      </c>
      <c r="J96" s="180">
        <f t="shared" si="111"/>
        <v>15.25</v>
      </c>
      <c r="K96" s="456">
        <f t="shared" si="112"/>
        <v>27.25</v>
      </c>
      <c r="L96" s="456"/>
      <c r="M96" s="225">
        <f t="shared" si="113"/>
        <v>0.55963302752293576</v>
      </c>
      <c r="N96" s="180">
        <f t="shared" si="114"/>
        <v>4.3819266055045869</v>
      </c>
      <c r="O96" s="180">
        <f t="shared" si="156"/>
        <v>4.0950000000000006</v>
      </c>
      <c r="P96" s="225">
        <f t="shared" si="115"/>
        <v>0.29212844036697244</v>
      </c>
      <c r="Q96" s="225">
        <f t="shared" si="116"/>
        <v>15</v>
      </c>
      <c r="R96" s="225">
        <f t="shared" si="117"/>
        <v>0.32458715596330273</v>
      </c>
      <c r="S96" s="180">
        <f t="shared" si="118"/>
        <v>16.856688681663382</v>
      </c>
      <c r="T96" s="225">
        <f t="shared" si="119"/>
        <v>15</v>
      </c>
      <c r="U96" s="225">
        <f t="shared" si="120"/>
        <v>1.3550546448087433</v>
      </c>
      <c r="V96" s="225">
        <f t="shared" si="121"/>
        <v>4.5168488160291442</v>
      </c>
      <c r="W96" s="225">
        <f t="shared" si="122"/>
        <v>3.5542416913016219</v>
      </c>
      <c r="X96" s="205">
        <f t="shared" si="123"/>
        <v>350</v>
      </c>
      <c r="Y96" s="456">
        <f t="shared" si="157"/>
        <v>123.89899470111574</v>
      </c>
      <c r="AA96" s="225">
        <f t="shared" si="124"/>
        <v>0.47968545216251629</v>
      </c>
      <c r="AB96" s="181">
        <f t="shared" si="125"/>
        <v>1.258191349934469</v>
      </c>
      <c r="AC96" s="181">
        <f t="shared" si="126"/>
        <v>0.10561881515504945</v>
      </c>
      <c r="AD96" s="181"/>
      <c r="AE96" s="181">
        <f t="shared" si="127"/>
        <v>0.76065573770491812</v>
      </c>
      <c r="AF96" s="565">
        <f t="shared" si="170"/>
        <v>2475.1783590963137</v>
      </c>
      <c r="AG96" s="548">
        <f t="shared" si="128"/>
        <v>3.8603278688524589E-2</v>
      </c>
      <c r="AI96" s="181">
        <f t="shared" si="129"/>
        <v>0.81291655988381328</v>
      </c>
      <c r="AJ96" s="181">
        <f t="shared" si="130"/>
        <v>1.3550546448087433</v>
      </c>
      <c r="AK96" s="181">
        <f t="shared" si="131"/>
        <v>1.988929366524995</v>
      </c>
      <c r="AM96" s="565">
        <f t="shared" si="132"/>
        <v>273</v>
      </c>
      <c r="AN96" s="474">
        <f t="shared" si="133"/>
        <v>123.89899470111574</v>
      </c>
      <c r="AP96">
        <f t="shared" si="134"/>
        <v>273</v>
      </c>
      <c r="AQ96">
        <f t="shared" si="135"/>
        <v>123.89899470111574</v>
      </c>
      <c r="AS96" s="6">
        <f t="shared" si="158"/>
        <v>8.0710905073307657</v>
      </c>
      <c r="AT96" s="6">
        <f t="shared" si="136"/>
        <v>4.5168488160291442</v>
      </c>
      <c r="AU96" s="6">
        <f t="shared" si="159"/>
        <v>3.5542416913016215</v>
      </c>
      <c r="AV96" s="6">
        <f t="shared" si="137"/>
        <v>3.5542416913016219</v>
      </c>
      <c r="AW96" s="181">
        <f t="shared" si="160"/>
        <v>0.55963302752293576</v>
      </c>
      <c r="AX96" s="181">
        <f t="shared" si="138"/>
        <v>4.5500000000000007</v>
      </c>
      <c r="AY96" s="181">
        <f t="shared" si="139"/>
        <v>0.29836065573770498</v>
      </c>
      <c r="AZ96" s="181">
        <f t="shared" si="161"/>
        <v>15.249999999999998</v>
      </c>
      <c r="BA96" s="474">
        <f t="shared" si="140"/>
        <v>8.2206648451730437</v>
      </c>
      <c r="BB96" s="6">
        <f t="shared" si="141"/>
        <v>2.2460832910308857</v>
      </c>
      <c r="BC96" s="6"/>
      <c r="BD96" s="181">
        <f t="shared" si="162"/>
        <v>0.58525866237263857</v>
      </c>
      <c r="BE96" s="181">
        <f t="shared" si="142"/>
        <v>0.51916278268353011</v>
      </c>
      <c r="BF96" s="181"/>
      <c r="BG96" s="548">
        <f t="shared" si="143"/>
        <v>0.11988469565877355</v>
      </c>
      <c r="BH96" s="548">
        <f t="shared" si="144"/>
        <v>4.5750000000000013E-2</v>
      </c>
      <c r="BI96" s="548">
        <f t="shared" si="145"/>
        <v>1.5487374337639468E-3</v>
      </c>
      <c r="BJ96" s="548">
        <f t="shared" si="146"/>
        <v>5.2901579670329669E-3</v>
      </c>
      <c r="BK96">
        <f t="shared" si="147"/>
        <v>3.48E-3</v>
      </c>
      <c r="BL96" s="474">
        <f t="shared" si="163"/>
        <v>175.95359105957047</v>
      </c>
      <c r="BM96" s="548">
        <f t="shared" si="148"/>
        <v>9.5549999999999996E-2</v>
      </c>
      <c r="BN96" s="548"/>
      <c r="BP96" s="474">
        <f t="shared" si="164"/>
        <v>95.55</v>
      </c>
      <c r="BQ96" s="548">
        <f t="shared" si="149"/>
        <v>0</v>
      </c>
      <c r="BR96" s="548">
        <f t="shared" si="150"/>
        <v>0</v>
      </c>
      <c r="BS96" s="548">
        <f t="shared" si="151"/>
        <v>1.8261291279606049E-2</v>
      </c>
      <c r="BT96" s="548">
        <f t="shared" si="152"/>
        <v>0.23887500000000006</v>
      </c>
      <c r="BU96" s="474">
        <f t="shared" si="165"/>
        <v>257.13629127960616</v>
      </c>
      <c r="BV96" s="181">
        <f t="shared" si="166"/>
        <v>0.52863988233917658</v>
      </c>
      <c r="BW96" s="6">
        <f t="shared" si="167"/>
        <v>4.0950000000000006</v>
      </c>
      <c r="BX96" s="181">
        <f t="shared" si="168"/>
        <v>0.88566586157403571</v>
      </c>
      <c r="BY96" s="6">
        <f t="shared" si="169"/>
        <v>88.566586157403577</v>
      </c>
      <c r="CB96" s="583">
        <f t="shared" si="153"/>
        <v>-50</v>
      </c>
      <c r="CC96">
        <f t="shared" si="154"/>
        <v>-50</v>
      </c>
    </row>
    <row r="97" spans="5:81" x14ac:dyDescent="0.2">
      <c r="E97" s="178">
        <v>92</v>
      </c>
      <c r="F97" s="225">
        <f t="shared" si="155"/>
        <v>0.27600000000000002</v>
      </c>
      <c r="G97" s="225"/>
      <c r="H97" s="225">
        <f t="shared" si="109"/>
        <v>4.1400000000000006</v>
      </c>
      <c r="I97" s="561">
        <f t="shared" si="110"/>
        <v>12</v>
      </c>
      <c r="J97" s="180">
        <f t="shared" si="111"/>
        <v>15.25</v>
      </c>
      <c r="K97" s="456">
        <f t="shared" si="112"/>
        <v>27.25</v>
      </c>
      <c r="L97" s="456"/>
      <c r="M97" s="225">
        <f t="shared" si="113"/>
        <v>0.55963302752293576</v>
      </c>
      <c r="N97" s="180">
        <f t="shared" si="114"/>
        <v>4.3819266055045869</v>
      </c>
      <c r="O97" s="180">
        <f t="shared" si="156"/>
        <v>4.1400000000000006</v>
      </c>
      <c r="P97" s="225">
        <f t="shared" si="115"/>
        <v>0.29212844036697244</v>
      </c>
      <c r="Q97" s="225">
        <f t="shared" si="116"/>
        <v>15</v>
      </c>
      <c r="R97" s="225">
        <f t="shared" si="117"/>
        <v>0.32458715596330273</v>
      </c>
      <c r="S97" s="180">
        <f t="shared" si="118"/>
        <v>16.548156245840794</v>
      </c>
      <c r="T97" s="552">
        <f t="shared" si="119"/>
        <v>15</v>
      </c>
      <c r="U97" s="552">
        <f t="shared" si="120"/>
        <v>1.3699453551912568</v>
      </c>
      <c r="V97" s="225">
        <f t="shared" si="121"/>
        <v>4.5664845173041897</v>
      </c>
      <c r="W97" s="225">
        <f t="shared" si="122"/>
        <v>3.5932992923049363</v>
      </c>
      <c r="X97" s="205">
        <f t="shared" si="123"/>
        <v>350</v>
      </c>
      <c r="Y97" s="456">
        <f t="shared" si="157"/>
        <v>122.55226649784274</v>
      </c>
      <c r="AA97" s="225">
        <f t="shared" si="124"/>
        <v>0.47968545216251629</v>
      </c>
      <c r="AB97" s="181">
        <f t="shared" si="125"/>
        <v>1.258191349934469</v>
      </c>
      <c r="AC97" s="181">
        <f t="shared" si="126"/>
        <v>0.10561881515504945</v>
      </c>
      <c r="AD97" s="181"/>
      <c r="AE97" s="181">
        <f t="shared" si="127"/>
        <v>0.76065573770491812</v>
      </c>
      <c r="AF97" s="565">
        <f t="shared" si="170"/>
        <v>2502.3781212841855</v>
      </c>
      <c r="AG97" s="548">
        <f t="shared" si="128"/>
        <v>3.8603278688524589E-2</v>
      </c>
      <c r="AI97" s="181">
        <f t="shared" si="129"/>
        <v>0.81737093054208765</v>
      </c>
      <c r="AJ97" s="181">
        <f t="shared" si="130"/>
        <v>1.3699453551912568</v>
      </c>
      <c r="AK97" s="181">
        <f t="shared" si="131"/>
        <v>1.999959522363894</v>
      </c>
      <c r="AM97" s="565">
        <f t="shared" si="132"/>
        <v>276</v>
      </c>
      <c r="AN97" s="474">
        <f t="shared" si="133"/>
        <v>122.55226649784274</v>
      </c>
      <c r="AP97">
        <f t="shared" si="134"/>
        <v>276</v>
      </c>
      <c r="AQ97">
        <f t="shared" si="135"/>
        <v>122.55226649784274</v>
      </c>
      <c r="AS97" s="6">
        <f t="shared" si="158"/>
        <v>8.1597838096091255</v>
      </c>
      <c r="AT97" s="6">
        <f t="shared" si="136"/>
        <v>4.5664845173041897</v>
      </c>
      <c r="AU97" s="6">
        <f t="shared" si="159"/>
        <v>3.5932992923049358</v>
      </c>
      <c r="AV97" s="6">
        <f t="shared" si="137"/>
        <v>3.5932992923049363</v>
      </c>
      <c r="AW97" s="181">
        <f t="shared" si="160"/>
        <v>0.55963302752293576</v>
      </c>
      <c r="AX97" s="181">
        <f t="shared" si="138"/>
        <v>4.5999999999999996</v>
      </c>
      <c r="AY97" s="181">
        <f t="shared" si="139"/>
        <v>0.30163934426229511</v>
      </c>
      <c r="AZ97" s="181">
        <f t="shared" si="161"/>
        <v>15.249999999999998</v>
      </c>
      <c r="BA97" s="474">
        <f t="shared" si="140"/>
        <v>8.4023315118397104</v>
      </c>
      <c r="BB97" s="6">
        <f t="shared" si="141"/>
        <v>2.2957189923059311</v>
      </c>
      <c r="BC97" s="6"/>
      <c r="BD97" s="181">
        <f t="shared" si="162"/>
        <v>0.59169007624486525</v>
      </c>
      <c r="BE97" s="181">
        <f t="shared" si="142"/>
        <v>0.52486786820752496</v>
      </c>
      <c r="BF97" s="181"/>
      <c r="BG97" s="548">
        <f t="shared" si="143"/>
        <v>0.12253400121432904</v>
      </c>
      <c r="BH97" s="548">
        <f t="shared" si="144"/>
        <v>4.5749999999999999E-2</v>
      </c>
      <c r="BI97" s="548">
        <f t="shared" si="145"/>
        <v>1.5319033312230341E-3</v>
      </c>
      <c r="BJ97" s="548">
        <f t="shared" si="146"/>
        <v>5.2326562499999995E-3</v>
      </c>
      <c r="BK97">
        <f t="shared" si="147"/>
        <v>3.48E-3</v>
      </c>
      <c r="BL97" s="474">
        <f t="shared" si="163"/>
        <v>178.52856079555207</v>
      </c>
      <c r="BM97" s="548">
        <f t="shared" si="148"/>
        <v>9.6600000000000005E-2</v>
      </c>
      <c r="BN97" s="548"/>
      <c r="BP97" s="474">
        <f t="shared" si="164"/>
        <v>96.600000000000009</v>
      </c>
      <c r="BQ97" s="548">
        <f t="shared" si="149"/>
        <v>0</v>
      </c>
      <c r="BR97" s="548">
        <f t="shared" si="150"/>
        <v>0</v>
      </c>
      <c r="BS97" s="548">
        <f t="shared" si="151"/>
        <v>1.8261291279606073E-2</v>
      </c>
      <c r="BT97" s="548">
        <f t="shared" si="152"/>
        <v>0.24150000000000002</v>
      </c>
      <c r="BU97" s="474">
        <f t="shared" si="165"/>
        <v>259.7612912796061</v>
      </c>
      <c r="BV97" s="181">
        <f t="shared" si="166"/>
        <v>0.53488985207515816</v>
      </c>
      <c r="BW97" s="6">
        <f t="shared" si="167"/>
        <v>4.1400000000000006</v>
      </c>
      <c r="BX97" s="181">
        <f t="shared" si="168"/>
        <v>0.88558236257957523</v>
      </c>
      <c r="BY97" s="6">
        <f t="shared" si="169"/>
        <v>88.558236257957518</v>
      </c>
      <c r="CB97" s="583">
        <f t="shared" si="153"/>
        <v>-50</v>
      </c>
      <c r="CC97">
        <f t="shared" si="154"/>
        <v>-50</v>
      </c>
    </row>
    <row r="98" spans="5:81" x14ac:dyDescent="0.2">
      <c r="E98" s="178">
        <v>93</v>
      </c>
      <c r="F98" s="225">
        <f t="shared" si="155"/>
        <v>0.27900000000000003</v>
      </c>
      <c r="G98" s="225"/>
      <c r="H98" s="225">
        <f t="shared" si="109"/>
        <v>4.1850000000000005</v>
      </c>
      <c r="I98" s="561">
        <f t="shared" si="110"/>
        <v>12</v>
      </c>
      <c r="J98" s="180">
        <f t="shared" si="111"/>
        <v>15.25</v>
      </c>
      <c r="K98" s="456">
        <f t="shared" si="112"/>
        <v>27.25</v>
      </c>
      <c r="L98" s="456"/>
      <c r="M98" s="225">
        <f t="shared" si="113"/>
        <v>0.55963302752293576</v>
      </c>
      <c r="N98" s="180">
        <f t="shared" si="114"/>
        <v>4.3819266055045869</v>
      </c>
      <c r="O98" s="180">
        <f t="shared" si="156"/>
        <v>4.1850000000000005</v>
      </c>
      <c r="P98" s="225">
        <f t="shared" si="115"/>
        <v>0.29212844036697244</v>
      </c>
      <c r="Q98" s="225">
        <f t="shared" si="116"/>
        <v>15</v>
      </c>
      <c r="R98" s="225">
        <f t="shared" si="117"/>
        <v>0.32458715596330273</v>
      </c>
      <c r="S98" s="180">
        <f t="shared" si="118"/>
        <v>16.246374272551211</v>
      </c>
      <c r="T98" s="552">
        <f t="shared" si="119"/>
        <v>15</v>
      </c>
      <c r="U98" s="552">
        <f t="shared" si="120"/>
        <v>1.3848360655737706</v>
      </c>
      <c r="V98" s="225">
        <f t="shared" si="121"/>
        <v>4.616120218579236</v>
      </c>
      <c r="W98" s="225">
        <f t="shared" si="122"/>
        <v>3.6323568933082511</v>
      </c>
      <c r="X98" s="205">
        <f t="shared" si="123"/>
        <v>350</v>
      </c>
      <c r="Y98" s="456">
        <f t="shared" si="157"/>
        <v>121.2345001914143</v>
      </c>
      <c r="AA98" s="225">
        <f t="shared" si="124"/>
        <v>0.47968545216251629</v>
      </c>
      <c r="AB98" s="181">
        <f t="shared" si="125"/>
        <v>1.258191349934469</v>
      </c>
      <c r="AC98" s="181">
        <f t="shared" si="126"/>
        <v>0.10561881515504945</v>
      </c>
      <c r="AD98" s="181"/>
      <c r="AE98" s="181">
        <f t="shared" si="127"/>
        <v>0.76065573770491812</v>
      </c>
      <c r="AF98" s="565">
        <f t="shared" si="170"/>
        <v>2529.5778834720572</v>
      </c>
      <c r="AG98" s="548">
        <f t="shared" si="128"/>
        <v>3.8603278688524589E-2</v>
      </c>
      <c r="AI98" s="181">
        <f t="shared" si="129"/>
        <v>0.82180115773655549</v>
      </c>
      <c r="AJ98" s="181">
        <f t="shared" si="130"/>
        <v>1.3848360655737706</v>
      </c>
      <c r="AK98" s="181">
        <f t="shared" si="131"/>
        <v>2.010989678202793</v>
      </c>
      <c r="AM98" s="565">
        <f t="shared" si="132"/>
        <v>279</v>
      </c>
      <c r="AN98" s="474">
        <f t="shared" si="133"/>
        <v>121.2345001914143</v>
      </c>
      <c r="AP98">
        <f t="shared" si="134"/>
        <v>279</v>
      </c>
      <c r="AQ98">
        <f t="shared" si="135"/>
        <v>121.2345001914143</v>
      </c>
      <c r="AS98" s="6">
        <f t="shared" si="158"/>
        <v>8.2484771118874871</v>
      </c>
      <c r="AT98" s="6">
        <f t="shared" si="136"/>
        <v>4.616120218579236</v>
      </c>
      <c r="AU98" s="6">
        <f t="shared" si="159"/>
        <v>3.6323568933082511</v>
      </c>
      <c r="AV98" s="6">
        <f t="shared" si="137"/>
        <v>3.6323568933082511</v>
      </c>
      <c r="AW98" s="181">
        <f t="shared" si="160"/>
        <v>0.55963302752293576</v>
      </c>
      <c r="AX98" s="181">
        <f t="shared" si="138"/>
        <v>4.6500000000000004</v>
      </c>
      <c r="AY98" s="181">
        <f t="shared" si="139"/>
        <v>0.30491803278688528</v>
      </c>
      <c r="AZ98" s="181">
        <f t="shared" si="161"/>
        <v>15.25</v>
      </c>
      <c r="BA98" s="474">
        <f t="shared" si="140"/>
        <v>8.5859836065573791</v>
      </c>
      <c r="BB98" s="6">
        <f t="shared" si="141"/>
        <v>2.3458971602615786</v>
      </c>
      <c r="BC98" s="6"/>
      <c r="BD98" s="181">
        <f t="shared" si="162"/>
        <v>0.59812149011709215</v>
      </c>
      <c r="BE98" s="181">
        <f t="shared" si="142"/>
        <v>0.5305729537315198</v>
      </c>
      <c r="BF98" s="181"/>
      <c r="BG98" s="548">
        <f t="shared" si="143"/>
        <v>0.12521226092896176</v>
      </c>
      <c r="BH98" s="548">
        <f t="shared" si="144"/>
        <v>4.5749999999999999E-2</v>
      </c>
      <c r="BI98" s="548">
        <f t="shared" si="145"/>
        <v>1.5154312523926788E-3</v>
      </c>
      <c r="BJ98" s="548">
        <f t="shared" si="146"/>
        <v>5.1763911290322569E-3</v>
      </c>
      <c r="BK98">
        <f t="shared" si="147"/>
        <v>3.48E-3</v>
      </c>
      <c r="BL98" s="474">
        <f t="shared" si="163"/>
        <v>181.13408331038673</v>
      </c>
      <c r="BM98" s="548">
        <f t="shared" si="148"/>
        <v>9.7650000000000001E-2</v>
      </c>
      <c r="BN98" s="548"/>
      <c r="BP98" s="474">
        <f t="shared" si="164"/>
        <v>97.65</v>
      </c>
      <c r="BQ98" s="548">
        <f t="shared" si="149"/>
        <v>0</v>
      </c>
      <c r="BR98" s="548">
        <f t="shared" si="150"/>
        <v>0</v>
      </c>
      <c r="BS98" s="548">
        <f t="shared" si="151"/>
        <v>1.826129127960607E-2</v>
      </c>
      <c r="BT98" s="548">
        <f t="shared" si="152"/>
        <v>0.24412500000000001</v>
      </c>
      <c r="BU98" s="474">
        <f t="shared" si="165"/>
        <v>262.38629127960604</v>
      </c>
      <c r="BV98" s="181">
        <f t="shared" si="166"/>
        <v>0.54117037458999284</v>
      </c>
      <c r="BW98" s="6">
        <f t="shared" si="167"/>
        <v>4.1850000000000005</v>
      </c>
      <c r="BX98" s="181">
        <f t="shared" si="168"/>
        <v>0.88549495009753199</v>
      </c>
      <c r="BY98" s="6">
        <f t="shared" si="169"/>
        <v>88.549495009753201</v>
      </c>
      <c r="CB98" s="583">
        <f t="shared" si="153"/>
        <v>-50</v>
      </c>
      <c r="CC98">
        <f t="shared" si="154"/>
        <v>-50</v>
      </c>
    </row>
    <row r="99" spans="5:81" x14ac:dyDescent="0.2">
      <c r="E99" s="178">
        <v>94</v>
      </c>
      <c r="F99" s="225">
        <f t="shared" si="155"/>
        <v>0.28199999999999997</v>
      </c>
      <c r="G99" s="225"/>
      <c r="H99" s="225">
        <f t="shared" si="109"/>
        <v>4.2299999999999995</v>
      </c>
      <c r="I99" s="561">
        <f t="shared" si="110"/>
        <v>12</v>
      </c>
      <c r="J99" s="180">
        <f t="shared" si="111"/>
        <v>15.25</v>
      </c>
      <c r="K99" s="456">
        <f t="shared" si="112"/>
        <v>27.25</v>
      </c>
      <c r="L99" s="456"/>
      <c r="M99" s="225">
        <f t="shared" si="113"/>
        <v>0.55963302752293576</v>
      </c>
      <c r="N99" s="180">
        <f t="shared" si="114"/>
        <v>4.3819266055045869</v>
      </c>
      <c r="O99" s="180">
        <f t="shared" si="156"/>
        <v>4.2299999999999995</v>
      </c>
      <c r="P99" s="225">
        <f t="shared" si="115"/>
        <v>0.29212844036697244</v>
      </c>
      <c r="Q99" s="225">
        <f t="shared" si="116"/>
        <v>15</v>
      </c>
      <c r="R99" s="225">
        <f t="shared" si="117"/>
        <v>0.32458715596330273</v>
      </c>
      <c r="S99" s="180">
        <f t="shared" si="118"/>
        <v>15.951129718869629</v>
      </c>
      <c r="T99" s="552">
        <f t="shared" si="119"/>
        <v>15</v>
      </c>
      <c r="U99" s="552">
        <f t="shared" si="120"/>
        <v>1.3997267759562839</v>
      </c>
      <c r="V99" s="225">
        <f t="shared" si="121"/>
        <v>4.6657559198542806</v>
      </c>
      <c r="W99" s="225">
        <f t="shared" si="122"/>
        <v>3.6714144943115645</v>
      </c>
      <c r="X99" s="205">
        <f t="shared" si="123"/>
        <v>350</v>
      </c>
      <c r="Y99" s="456">
        <f t="shared" si="157"/>
        <v>119.94477146597374</v>
      </c>
      <c r="AA99" s="225">
        <f t="shared" si="124"/>
        <v>0.47968545216251629</v>
      </c>
      <c r="AB99" s="181">
        <f t="shared" si="125"/>
        <v>1.258191349934469</v>
      </c>
      <c r="AC99" s="181">
        <f t="shared" si="126"/>
        <v>0.10561881515504945</v>
      </c>
      <c r="AD99" s="181"/>
      <c r="AE99" s="181">
        <f t="shared" si="127"/>
        <v>0.76065573770491812</v>
      </c>
      <c r="AF99" s="565">
        <f t="shared" si="170"/>
        <v>2556.7776456599281</v>
      </c>
      <c r="AG99" s="548">
        <f t="shared" si="128"/>
        <v>3.8603278688524589E-2</v>
      </c>
      <c r="AI99" s="181">
        <f t="shared" si="129"/>
        <v>0.82620762984799867</v>
      </c>
      <c r="AJ99" s="181">
        <f t="shared" si="130"/>
        <v>1.3997267759562839</v>
      </c>
      <c r="AK99" s="181">
        <f t="shared" si="131"/>
        <v>2.0220198340416919</v>
      </c>
      <c r="AM99" s="565">
        <f t="shared" si="132"/>
        <v>282</v>
      </c>
      <c r="AN99" s="474">
        <f t="shared" si="133"/>
        <v>119.94477146597374</v>
      </c>
      <c r="AP99">
        <f t="shared" si="134"/>
        <v>282</v>
      </c>
      <c r="AQ99">
        <f t="shared" si="135"/>
        <v>119.94477146597374</v>
      </c>
      <c r="AS99" s="6">
        <f t="shared" si="158"/>
        <v>8.3371704141658451</v>
      </c>
      <c r="AT99" s="6">
        <f t="shared" si="136"/>
        <v>4.6657559198542806</v>
      </c>
      <c r="AU99" s="6">
        <f t="shared" si="159"/>
        <v>3.6714144943115645</v>
      </c>
      <c r="AV99" s="6">
        <f t="shared" si="137"/>
        <v>3.6714144943115645</v>
      </c>
      <c r="AW99" s="181">
        <f t="shared" si="160"/>
        <v>0.55963302752293587</v>
      </c>
      <c r="AX99" s="181">
        <f t="shared" si="138"/>
        <v>4.6999999999999984</v>
      </c>
      <c r="AY99" s="181">
        <f t="shared" si="139"/>
        <v>0.3081967213114753</v>
      </c>
      <c r="AZ99" s="181">
        <f t="shared" si="161"/>
        <v>15.25</v>
      </c>
      <c r="BA99" s="474">
        <f t="shared" si="140"/>
        <v>8.7716211293260464</v>
      </c>
      <c r="BB99" s="6">
        <f t="shared" si="141"/>
        <v>2.3966177948978262</v>
      </c>
      <c r="BC99" s="6"/>
      <c r="BD99" s="181">
        <f t="shared" si="162"/>
        <v>0.60455290398931882</v>
      </c>
      <c r="BE99" s="181">
        <f t="shared" si="142"/>
        <v>0.53627803925551454</v>
      </c>
      <c r="BF99" s="181"/>
      <c r="BG99" s="548">
        <f t="shared" si="143"/>
        <v>0.12791947480267149</v>
      </c>
      <c r="BH99" s="548">
        <f t="shared" si="144"/>
        <v>4.5749999999999999E-2</v>
      </c>
      <c r="BI99" s="548">
        <f t="shared" si="145"/>
        <v>1.4993096433246716E-3</v>
      </c>
      <c r="BJ99" s="548">
        <f t="shared" si="146"/>
        <v>5.121323138297872E-3</v>
      </c>
      <c r="BK99">
        <f t="shared" si="147"/>
        <v>3.48E-3</v>
      </c>
      <c r="BL99" s="474">
        <f t="shared" si="163"/>
        <v>183.77010758429404</v>
      </c>
      <c r="BM99" s="548">
        <f t="shared" si="148"/>
        <v>9.8699999999999982E-2</v>
      </c>
      <c r="BN99" s="548"/>
      <c r="BP99" s="474">
        <f t="shared" si="164"/>
        <v>98.699999999999989</v>
      </c>
      <c r="BQ99" s="548">
        <f t="shared" si="149"/>
        <v>0</v>
      </c>
      <c r="BR99" s="548">
        <f t="shared" si="150"/>
        <v>0</v>
      </c>
      <c r="BS99" s="548">
        <f t="shared" si="151"/>
        <v>1.8261291279606084E-2</v>
      </c>
      <c r="BT99" s="548">
        <f t="shared" si="152"/>
        <v>0.24674999999999994</v>
      </c>
      <c r="BU99" s="474">
        <f t="shared" si="165"/>
        <v>265.01129127960604</v>
      </c>
      <c r="BV99" s="181">
        <f t="shared" si="166"/>
        <v>0.54748139886390002</v>
      </c>
      <c r="BW99" s="6">
        <f t="shared" si="167"/>
        <v>4.2299999999999995</v>
      </c>
      <c r="BX99" s="181">
        <f t="shared" si="168"/>
        <v>0.88540376128013953</v>
      </c>
      <c r="BY99" s="6">
        <f t="shared" si="169"/>
        <v>88.540376128013946</v>
      </c>
      <c r="CB99" s="583">
        <f t="shared" si="153"/>
        <v>-50</v>
      </c>
      <c r="CC99">
        <f t="shared" si="154"/>
        <v>-50</v>
      </c>
    </row>
    <row r="100" spans="5:81" x14ac:dyDescent="0.2">
      <c r="E100" s="178">
        <v>95</v>
      </c>
      <c r="F100" s="225">
        <f t="shared" si="155"/>
        <v>0.28499999999999998</v>
      </c>
      <c r="G100" s="225"/>
      <c r="H100" s="225">
        <f t="shared" si="109"/>
        <v>4.2749999999999995</v>
      </c>
      <c r="I100" s="561">
        <f t="shared" si="110"/>
        <v>12</v>
      </c>
      <c r="J100" s="180">
        <f t="shared" si="111"/>
        <v>15.25</v>
      </c>
      <c r="K100" s="456">
        <f t="shared" si="112"/>
        <v>27.25</v>
      </c>
      <c r="L100" s="456"/>
      <c r="M100" s="225">
        <f t="shared" si="113"/>
        <v>0.55963302752293576</v>
      </c>
      <c r="N100" s="180">
        <f t="shared" si="114"/>
        <v>4.3819266055045869</v>
      </c>
      <c r="O100" s="180">
        <f t="shared" si="156"/>
        <v>4.2749999999999995</v>
      </c>
      <c r="P100" s="225">
        <f t="shared" si="115"/>
        <v>0.29212844036697244</v>
      </c>
      <c r="Q100" s="225">
        <f t="shared" si="116"/>
        <v>15</v>
      </c>
      <c r="R100" s="225">
        <f t="shared" si="117"/>
        <v>0.32458715596330273</v>
      </c>
      <c r="S100" s="180">
        <f t="shared" si="118"/>
        <v>15.662218573981168</v>
      </c>
      <c r="T100" s="552">
        <f t="shared" si="119"/>
        <v>15</v>
      </c>
      <c r="U100" s="552">
        <f t="shared" si="120"/>
        <v>1.4146174863387975</v>
      </c>
      <c r="V100" s="225">
        <f t="shared" si="121"/>
        <v>4.7153916211293252</v>
      </c>
      <c r="W100" s="225">
        <f t="shared" si="122"/>
        <v>3.7104720953148784</v>
      </c>
      <c r="X100" s="205">
        <f t="shared" si="123"/>
        <v>350</v>
      </c>
      <c r="Y100" s="456">
        <f t="shared" si="157"/>
        <v>118.68219492422669</v>
      </c>
      <c r="AA100" s="225">
        <f t="shared" si="124"/>
        <v>0.47968545216251629</v>
      </c>
      <c r="AB100" s="181">
        <f t="shared" si="125"/>
        <v>1.258191349934469</v>
      </c>
      <c r="AC100" s="181">
        <f t="shared" si="126"/>
        <v>0.10561881515504945</v>
      </c>
      <c r="AD100" s="181"/>
      <c r="AE100" s="181">
        <f t="shared" si="127"/>
        <v>0.76065573770491812</v>
      </c>
      <c r="AF100" s="565">
        <f t="shared" si="170"/>
        <v>2583.9774078477999</v>
      </c>
      <c r="AG100" s="548">
        <f t="shared" si="128"/>
        <v>3.8603278688524589E-2</v>
      </c>
      <c r="AI100" s="181">
        <f t="shared" si="129"/>
        <v>0.83059072495480735</v>
      </c>
      <c r="AJ100" s="181">
        <f t="shared" si="130"/>
        <v>1.4146174863387975</v>
      </c>
      <c r="AK100" s="181">
        <f t="shared" si="131"/>
        <v>2.0330499898805905</v>
      </c>
      <c r="AM100" s="565">
        <f t="shared" si="132"/>
        <v>285</v>
      </c>
      <c r="AN100" s="474">
        <f t="shared" si="133"/>
        <v>118.68219492422669</v>
      </c>
      <c r="AP100">
        <f t="shared" si="134"/>
        <v>285</v>
      </c>
      <c r="AQ100">
        <f t="shared" si="135"/>
        <v>118.68219492422669</v>
      </c>
      <c r="AS100" s="6">
        <f t="shared" si="158"/>
        <v>8.4258637164442032</v>
      </c>
      <c r="AT100" s="6">
        <f t="shared" si="136"/>
        <v>4.7153916211293252</v>
      </c>
      <c r="AU100" s="6">
        <f t="shared" si="159"/>
        <v>3.710472095314878</v>
      </c>
      <c r="AV100" s="6">
        <f t="shared" si="137"/>
        <v>3.7104720953148784</v>
      </c>
      <c r="AW100" s="181">
        <f t="shared" si="160"/>
        <v>0.55963302752293587</v>
      </c>
      <c r="AX100" s="181">
        <f t="shared" si="138"/>
        <v>4.75</v>
      </c>
      <c r="AY100" s="181">
        <f t="shared" si="139"/>
        <v>0.31147540983606542</v>
      </c>
      <c r="AZ100" s="181">
        <f t="shared" si="161"/>
        <v>15.250000000000007</v>
      </c>
      <c r="BA100" s="474">
        <f t="shared" si="140"/>
        <v>8.9592440801457158</v>
      </c>
      <c r="BB100" s="6">
        <f t="shared" si="141"/>
        <v>2.4478808962146754</v>
      </c>
      <c r="BC100" s="6"/>
      <c r="BD100" s="181">
        <f t="shared" si="162"/>
        <v>0.61098431786154561</v>
      </c>
      <c r="BE100" s="181">
        <f t="shared" si="142"/>
        <v>0.54198312477950927</v>
      </c>
      <c r="BF100" s="181"/>
      <c r="BG100" s="548">
        <f t="shared" si="143"/>
        <v>0.13065564283545836</v>
      </c>
      <c r="BH100" s="548">
        <f t="shared" si="144"/>
        <v>4.5749999999999999E-2</v>
      </c>
      <c r="BI100" s="548">
        <f t="shared" si="145"/>
        <v>1.4835274365528335E-3</v>
      </c>
      <c r="BJ100" s="548">
        <f t="shared" si="146"/>
        <v>5.0674144736842126E-3</v>
      </c>
      <c r="BK100">
        <f t="shared" si="147"/>
        <v>3.48E-3</v>
      </c>
      <c r="BL100" s="474">
        <f t="shared" si="163"/>
        <v>186.4365847456954</v>
      </c>
      <c r="BM100" s="548">
        <f t="shared" si="148"/>
        <v>9.9749999999999991E-2</v>
      </c>
      <c r="BN100" s="548"/>
      <c r="BP100" s="474">
        <f t="shared" si="164"/>
        <v>99.749999999999986</v>
      </c>
      <c r="BQ100" s="548">
        <f t="shared" si="149"/>
        <v>0</v>
      </c>
      <c r="BR100" s="548">
        <f t="shared" si="150"/>
        <v>0</v>
      </c>
      <c r="BS100" s="548">
        <f t="shared" si="151"/>
        <v>1.8261291279606066E-2</v>
      </c>
      <c r="BT100" s="548">
        <f t="shared" si="152"/>
        <v>0.24937500000000004</v>
      </c>
      <c r="BU100" s="474">
        <f t="shared" si="165"/>
        <v>267.6362912796061</v>
      </c>
      <c r="BV100" s="181">
        <f t="shared" si="166"/>
        <v>0.55382287602530156</v>
      </c>
      <c r="BW100" s="6">
        <f t="shared" si="167"/>
        <v>4.2749999999999995</v>
      </c>
      <c r="BX100" s="181">
        <f t="shared" si="168"/>
        <v>0.88530892719735377</v>
      </c>
      <c r="BY100" s="6">
        <f t="shared" si="169"/>
        <v>88.530892719735377</v>
      </c>
      <c r="CB100" s="583">
        <f t="shared" si="153"/>
        <v>-50</v>
      </c>
      <c r="CC100">
        <f t="shared" si="154"/>
        <v>-50</v>
      </c>
    </row>
    <row r="101" spans="5:81" x14ac:dyDescent="0.2">
      <c r="E101" s="178">
        <v>96</v>
      </c>
      <c r="F101" s="225">
        <f t="shared" si="155"/>
        <v>0.28799999999999998</v>
      </c>
      <c r="G101" s="225"/>
      <c r="H101" s="225">
        <f t="shared" ref="H101:H105" si="171">F101*Vout</f>
        <v>4.3199999999999994</v>
      </c>
      <c r="I101" s="561">
        <f t="shared" si="110"/>
        <v>12</v>
      </c>
      <c r="J101" s="180">
        <f t="shared" si="111"/>
        <v>15.25</v>
      </c>
      <c r="K101" s="456">
        <f t="shared" si="112"/>
        <v>27.25</v>
      </c>
      <c r="L101" s="456"/>
      <c r="M101" s="225">
        <f t="shared" si="113"/>
        <v>0.55963302752293576</v>
      </c>
      <c r="N101" s="180">
        <f t="shared" si="114"/>
        <v>4.3819266055045869</v>
      </c>
      <c r="O101" s="180">
        <f t="shared" si="156"/>
        <v>4.3199999999999994</v>
      </c>
      <c r="P101" s="225">
        <f t="shared" ref="P101:P105" si="172">N101/Vout</f>
        <v>0.29212844036697244</v>
      </c>
      <c r="Q101" s="225">
        <f t="shared" si="116"/>
        <v>15</v>
      </c>
      <c r="R101" s="225">
        <f t="shared" ref="R101:R105" si="173">Isw_max/2*I101*Nps*(Q101+Vfwd1)/Q101/(I101+Nps*(Q101+Vfwd1))</f>
        <v>0.32458715596330273</v>
      </c>
      <c r="S101" s="180">
        <f t="shared" si="118"/>
        <v>15.379445390577242</v>
      </c>
      <c r="T101" s="552">
        <f t="shared" ref="T101:T105" si="174">MIN(Vout, S101)</f>
        <v>15</v>
      </c>
      <c r="U101" s="552">
        <f t="shared" si="120"/>
        <v>1.4295081967213112</v>
      </c>
      <c r="V101" s="225">
        <f t="shared" ref="V101:V105" si="175">L*U101/I101*1000000</f>
        <v>4.7650273224043707</v>
      </c>
      <c r="W101" s="225">
        <f t="shared" si="122"/>
        <v>3.7495296963181937</v>
      </c>
      <c r="X101" s="205">
        <f t="shared" si="123"/>
        <v>350</v>
      </c>
      <c r="Y101" s="456">
        <f t="shared" si="157"/>
        <v>117.44592206043264</v>
      </c>
      <c r="AA101" s="225">
        <f t="shared" si="124"/>
        <v>0.47968545216251629</v>
      </c>
      <c r="AB101" s="181">
        <f t="shared" ref="AB101:AB105" si="176">L*AA101/J101*1000000</f>
        <v>1.258191349934469</v>
      </c>
      <c r="AC101" s="181">
        <f t="shared" ref="AC101:AC105" si="177">0.5*AB101*AA101*Nps*X101/1000</f>
        <v>0.10561881515504945</v>
      </c>
      <c r="AD101" s="181"/>
      <c r="AE101" s="181">
        <f t="shared" si="127"/>
        <v>0.76065573770491812</v>
      </c>
      <c r="AF101" s="565">
        <f t="shared" si="170"/>
        <v>2611.1771700356712</v>
      </c>
      <c r="AG101" s="548">
        <f t="shared" si="128"/>
        <v>3.8603278688524589E-2</v>
      </c>
      <c r="AI101" s="181">
        <f t="shared" si="129"/>
        <v>0.834950811211569</v>
      </c>
      <c r="AJ101" s="181">
        <f t="shared" ref="AJ101:AJ105" si="178">MAX(IF(F101&gt;AC101,U101,AI101),Isw_min)</f>
        <v>1.4295081967213112</v>
      </c>
      <c r="AK101" s="181">
        <f t="shared" ref="AK101:AK105" si="179">IF(F101&gt;AG101, (AJ101-Isw_min)/1.08*0.8+1.2, AF101*0.2/350+1)</f>
        <v>2.0440801457194899</v>
      </c>
      <c r="AM101" s="565">
        <f t="shared" si="132"/>
        <v>288</v>
      </c>
      <c r="AN101" s="474">
        <f t="shared" si="133"/>
        <v>117.44592206043264</v>
      </c>
      <c r="AP101">
        <f t="shared" si="134"/>
        <v>288</v>
      </c>
      <c r="AQ101">
        <f t="shared" si="135"/>
        <v>117.44592206043264</v>
      </c>
      <c r="AS101" s="6">
        <f t="shared" si="158"/>
        <v>8.5145570187225648</v>
      </c>
      <c r="AT101" s="6">
        <f t="shared" si="136"/>
        <v>4.7650273224043707</v>
      </c>
      <c r="AU101" s="6">
        <f t="shared" si="159"/>
        <v>3.7495296963181941</v>
      </c>
      <c r="AV101" s="6">
        <f t="shared" si="137"/>
        <v>3.7495296963181937</v>
      </c>
      <c r="AW101" s="181">
        <f t="shared" si="160"/>
        <v>0.55963302752293576</v>
      </c>
      <c r="AX101" s="181">
        <f t="shared" si="138"/>
        <v>4.8</v>
      </c>
      <c r="AY101" s="181">
        <f t="shared" si="139"/>
        <v>0.31475409836065571</v>
      </c>
      <c r="AZ101" s="181">
        <f t="shared" si="161"/>
        <v>15.25</v>
      </c>
      <c r="BA101" s="474">
        <f t="shared" si="140"/>
        <v>9.1488524590163909</v>
      </c>
      <c r="BB101" s="6">
        <f t="shared" si="141"/>
        <v>2.4996864642121288</v>
      </c>
      <c r="BC101" s="6"/>
      <c r="BD101" s="181">
        <f t="shared" si="162"/>
        <v>0.6174157317337724</v>
      </c>
      <c r="BE101" s="181">
        <f t="shared" si="142"/>
        <v>0.54768821030350412</v>
      </c>
      <c r="BF101" s="181"/>
      <c r="BG101" s="548">
        <f t="shared" si="143"/>
        <v>0.13342076502732236</v>
      </c>
      <c r="BH101" s="548">
        <f t="shared" si="144"/>
        <v>4.5749999999999999E-2</v>
      </c>
      <c r="BI101" s="548">
        <f t="shared" si="145"/>
        <v>1.4680740257554078E-3</v>
      </c>
      <c r="BJ101" s="548">
        <f t="shared" si="146"/>
        <v>5.0146289062499997E-3</v>
      </c>
      <c r="BK101">
        <f t="shared" si="147"/>
        <v>3.48E-3</v>
      </c>
      <c r="BL101" s="474">
        <f t="shared" si="163"/>
        <v>189.13346795932782</v>
      </c>
      <c r="BM101" s="548">
        <f t="shared" si="148"/>
        <v>0.10079999999999999</v>
      </c>
      <c r="BN101" s="548"/>
      <c r="BP101" s="474">
        <f t="shared" si="164"/>
        <v>100.79999999999998</v>
      </c>
      <c r="BQ101" s="548">
        <f t="shared" si="149"/>
        <v>0</v>
      </c>
      <c r="BR101" s="548">
        <f t="shared" si="150"/>
        <v>0</v>
      </c>
      <c r="BS101" s="548">
        <f t="shared" si="151"/>
        <v>1.826129127960608E-2</v>
      </c>
      <c r="BT101" s="548">
        <f t="shared" si="152"/>
        <v>0.252</v>
      </c>
      <c r="BU101" s="474">
        <f t="shared" si="165"/>
        <v>270.2612912796061</v>
      </c>
      <c r="BV101" s="181">
        <f t="shared" si="166"/>
        <v>0.5601947592389338</v>
      </c>
      <c r="BW101" s="6">
        <f t="shared" si="167"/>
        <v>4.3199999999999994</v>
      </c>
      <c r="BX101" s="181">
        <f t="shared" si="168"/>
        <v>0.88521057316853957</v>
      </c>
      <c r="BY101" s="6">
        <f t="shared" si="169"/>
        <v>88.521057316853955</v>
      </c>
      <c r="CB101" s="583">
        <f t="shared" si="153"/>
        <v>-50</v>
      </c>
      <c r="CC101">
        <f t="shared" si="154"/>
        <v>-50</v>
      </c>
    </row>
    <row r="102" spans="5:81" x14ac:dyDescent="0.2">
      <c r="E102" s="178">
        <v>97</v>
      </c>
      <c r="F102" s="225">
        <f t="shared" ref="F102:F105" si="180">IF(PLOT_TYPE=1, E102/100*Iout_max, min_I*EXP(N102*rr/100))</f>
        <v>0.29099999999999998</v>
      </c>
      <c r="G102" s="225"/>
      <c r="H102" s="225">
        <f t="shared" si="171"/>
        <v>4.3649999999999993</v>
      </c>
      <c r="I102" s="561">
        <f t="shared" si="110"/>
        <v>12</v>
      </c>
      <c r="J102" s="180">
        <f t="shared" si="111"/>
        <v>15.25</v>
      </c>
      <c r="K102" s="456">
        <f t="shared" si="112"/>
        <v>27.25</v>
      </c>
      <c r="L102" s="456"/>
      <c r="M102" s="225">
        <f t="shared" si="113"/>
        <v>0.55963302752293576</v>
      </c>
      <c r="N102" s="180">
        <f t="shared" si="114"/>
        <v>4.3819266055045869</v>
      </c>
      <c r="O102" s="180">
        <f t="shared" si="156"/>
        <v>4.3649999999999993</v>
      </c>
      <c r="P102" s="225">
        <f t="shared" si="172"/>
        <v>0.29212844036697244</v>
      </c>
      <c r="Q102" s="225">
        <f t="shared" si="116"/>
        <v>15</v>
      </c>
      <c r="R102" s="225">
        <f t="shared" si="173"/>
        <v>0.32458715596330273</v>
      </c>
      <c r="S102" s="180">
        <f t="shared" si="118"/>
        <v>15.102622845293146</v>
      </c>
      <c r="T102" s="552">
        <f t="shared" si="174"/>
        <v>15</v>
      </c>
      <c r="U102" s="552">
        <f t="shared" si="120"/>
        <v>1.4443989071038248</v>
      </c>
      <c r="V102" s="225">
        <f t="shared" si="175"/>
        <v>4.8146630236794161</v>
      </c>
      <c r="W102" s="225">
        <f t="shared" si="122"/>
        <v>3.788587297321508</v>
      </c>
      <c r="X102" s="205">
        <f t="shared" si="123"/>
        <v>350</v>
      </c>
      <c r="Y102" s="456">
        <f t="shared" si="157"/>
        <v>116.23513935877868</v>
      </c>
      <c r="AA102" s="225">
        <f t="shared" si="124"/>
        <v>0.47968545216251629</v>
      </c>
      <c r="AB102" s="181">
        <f t="shared" si="176"/>
        <v>1.258191349934469</v>
      </c>
      <c r="AC102" s="181">
        <f t="shared" si="177"/>
        <v>0.10561881515504945</v>
      </c>
      <c r="AD102" s="181"/>
      <c r="AE102" s="181">
        <f t="shared" si="127"/>
        <v>0.76065573770491812</v>
      </c>
      <c r="AF102" s="565">
        <f t="shared" si="170"/>
        <v>2638.376932223543</v>
      </c>
      <c r="AG102" s="548">
        <f t="shared" si="128"/>
        <v>3.8603278688524589E-2</v>
      </c>
      <c r="AI102" s="181">
        <f t="shared" si="129"/>
        <v>0.83928824720995698</v>
      </c>
      <c r="AJ102" s="181">
        <f t="shared" si="178"/>
        <v>1.4443989071038248</v>
      </c>
      <c r="AK102" s="181">
        <f t="shared" si="179"/>
        <v>2.0551103015583885</v>
      </c>
      <c r="AM102" s="565">
        <f t="shared" si="132"/>
        <v>291</v>
      </c>
      <c r="AN102" s="474">
        <f t="shared" si="133"/>
        <v>116.23513935877868</v>
      </c>
      <c r="AP102">
        <f t="shared" si="134"/>
        <v>291</v>
      </c>
      <c r="AQ102">
        <f t="shared" si="135"/>
        <v>116.23513935877868</v>
      </c>
      <c r="AS102" s="6">
        <f t="shared" si="158"/>
        <v>8.6032503210009246</v>
      </c>
      <c r="AT102" s="6">
        <f t="shared" si="136"/>
        <v>4.8146630236794161</v>
      </c>
      <c r="AU102" s="6">
        <f t="shared" si="159"/>
        <v>3.7885872973215085</v>
      </c>
      <c r="AV102" s="6">
        <f t="shared" si="137"/>
        <v>3.788587297321508</v>
      </c>
      <c r="AW102" s="181">
        <f t="shared" si="160"/>
        <v>0.55963302752293576</v>
      </c>
      <c r="AX102" s="181">
        <f t="shared" si="138"/>
        <v>4.8499999999999996</v>
      </c>
      <c r="AY102" s="181">
        <f t="shared" si="139"/>
        <v>0.31803278688524583</v>
      </c>
      <c r="AZ102" s="181">
        <f t="shared" si="161"/>
        <v>15.250000000000002</v>
      </c>
      <c r="BA102" s="474">
        <f t="shared" si="140"/>
        <v>9.340446265938068</v>
      </c>
      <c r="BB102" s="6">
        <f t="shared" si="141"/>
        <v>2.552034498890182</v>
      </c>
      <c r="BC102" s="6"/>
      <c r="BD102" s="181">
        <f t="shared" si="162"/>
        <v>0.62384714560599908</v>
      </c>
      <c r="BE102" s="181">
        <f t="shared" si="142"/>
        <v>0.55339329582749897</v>
      </c>
      <c r="BF102" s="181"/>
      <c r="BG102" s="548">
        <f t="shared" si="143"/>
        <v>0.13621484137826342</v>
      </c>
      <c r="BH102" s="548">
        <f t="shared" si="144"/>
        <v>4.5749999999999992E-2</v>
      </c>
      <c r="BI102" s="548">
        <f t="shared" si="145"/>
        <v>1.4529392419847333E-3</v>
      </c>
      <c r="BJ102" s="548">
        <f t="shared" si="146"/>
        <v>4.962931701030928E-3</v>
      </c>
      <c r="BK102">
        <f t="shared" si="147"/>
        <v>3.48E-3</v>
      </c>
      <c r="BL102" s="474">
        <f t="shared" si="163"/>
        <v>191.86071232127907</v>
      </c>
      <c r="BM102" s="548">
        <f t="shared" si="148"/>
        <v>0.10184999999999998</v>
      </c>
      <c r="BN102" s="548"/>
      <c r="BP102" s="474">
        <f t="shared" si="164"/>
        <v>101.84999999999998</v>
      </c>
      <c r="BQ102" s="548">
        <f t="shared" si="149"/>
        <v>0</v>
      </c>
      <c r="BR102" s="548">
        <f t="shared" si="150"/>
        <v>0</v>
      </c>
      <c r="BS102" s="548">
        <f t="shared" si="151"/>
        <v>1.826129127960607E-2</v>
      </c>
      <c r="BT102" s="548">
        <f t="shared" si="152"/>
        <v>0.25462499999999993</v>
      </c>
      <c r="BU102" s="474">
        <f t="shared" si="165"/>
        <v>272.88629127960598</v>
      </c>
      <c r="BV102" s="181">
        <f t="shared" si="166"/>
        <v>0.56659700360088505</v>
      </c>
      <c r="BW102" s="6">
        <f t="shared" si="167"/>
        <v>4.3649999999999993</v>
      </c>
      <c r="BX102" s="181">
        <f t="shared" si="168"/>
        <v>0.88510881907277195</v>
      </c>
      <c r="BY102" s="6">
        <f t="shared" si="169"/>
        <v>88.510881907277195</v>
      </c>
      <c r="CB102" s="583">
        <f t="shared" si="153"/>
        <v>116.23513935877868</v>
      </c>
      <c r="CC102">
        <f t="shared" si="154"/>
        <v>3.8784818830617249</v>
      </c>
    </row>
    <row r="103" spans="5:81" x14ac:dyDescent="0.2">
      <c r="E103" s="178">
        <v>98</v>
      </c>
      <c r="F103" s="225">
        <f t="shared" si="180"/>
        <v>0.29399999999999998</v>
      </c>
      <c r="G103" s="225"/>
      <c r="H103" s="225">
        <f t="shared" si="171"/>
        <v>4.41</v>
      </c>
      <c r="I103" s="561">
        <f t="shared" si="110"/>
        <v>12</v>
      </c>
      <c r="J103" s="180">
        <f t="shared" si="111"/>
        <v>15.08157132611413</v>
      </c>
      <c r="K103" s="456">
        <f t="shared" si="112"/>
        <v>27.25</v>
      </c>
      <c r="L103" s="456"/>
      <c r="M103" s="225">
        <f t="shared" si="113"/>
        <v>0.55963302752293576</v>
      </c>
      <c r="N103" s="180">
        <f t="shared" si="114"/>
        <v>4.3819266055045869</v>
      </c>
      <c r="O103" s="180">
        <f t="shared" si="156"/>
        <v>4.3604819698775543</v>
      </c>
      <c r="P103" s="225">
        <f t="shared" si="172"/>
        <v>0.29212844036697244</v>
      </c>
      <c r="Q103" s="225">
        <f t="shared" si="116"/>
        <v>14.904512263621045</v>
      </c>
      <c r="R103" s="225">
        <f t="shared" si="173"/>
        <v>0.32576276369358853</v>
      </c>
      <c r="S103" s="180">
        <f t="shared" si="118"/>
        <v>14.83157132611413</v>
      </c>
      <c r="T103" s="552">
        <f t="shared" si="174"/>
        <v>14.83157132611413</v>
      </c>
      <c r="U103" s="552">
        <f t="shared" si="120"/>
        <v>1.45</v>
      </c>
      <c r="V103" s="225">
        <f t="shared" si="175"/>
        <v>4.833333333333333</v>
      </c>
      <c r="W103" s="225">
        <f t="shared" si="122"/>
        <v>3.845753121199746</v>
      </c>
      <c r="X103" s="205">
        <f t="shared" si="123"/>
        <v>350</v>
      </c>
      <c r="Y103" s="456">
        <f t="shared" si="157"/>
        <v>115.21949979858776</v>
      </c>
      <c r="AA103" s="225">
        <f t="shared" si="124"/>
        <v>0.47733792773700651</v>
      </c>
      <c r="AB103" s="181">
        <f t="shared" si="176"/>
        <v>1.2660164313528355</v>
      </c>
      <c r="AC103" s="181">
        <f t="shared" si="177"/>
        <v>0.10575559046901846</v>
      </c>
      <c r="AD103" s="181"/>
      <c r="AE103" s="181">
        <f t="shared" si="127"/>
        <v>0.76915062423994918</v>
      </c>
      <c r="AF103" s="565">
        <f t="shared" si="170"/>
        <v>2636.136724065133</v>
      </c>
      <c r="AG103" s="548">
        <f t="shared" si="128"/>
        <v>3.9034394180177422E-2</v>
      </c>
      <c r="AI103" s="181">
        <f t="shared" si="129"/>
        <v>0.83893185771272627</v>
      </c>
      <c r="AJ103" s="181">
        <f t="shared" si="178"/>
        <v>1.45</v>
      </c>
      <c r="AK103" s="181">
        <f t="shared" si="179"/>
        <v>2.0592592592592593</v>
      </c>
      <c r="AM103" s="565">
        <f t="shared" si="132"/>
        <v>294</v>
      </c>
      <c r="AN103" s="474">
        <f t="shared" si="133"/>
        <v>115.21949979858776</v>
      </c>
      <c r="AP103" t="str">
        <f t="shared" si="134"/>
        <v/>
      </c>
      <c r="AQ103" t="str">
        <f t="shared" si="135"/>
        <v/>
      </c>
      <c r="AS103" s="6">
        <f t="shared" si="158"/>
        <v>8.6790864545330813</v>
      </c>
      <c r="AT103" s="6">
        <f t="shared" si="136"/>
        <v>4.833333333333333</v>
      </c>
      <c r="AU103" s="6">
        <f t="shared" si="159"/>
        <v>3.8457531211997482</v>
      </c>
      <c r="AV103" s="6">
        <f t="shared" si="137"/>
        <v>3.845753121199746</v>
      </c>
      <c r="AW103" s="181">
        <f t="shared" si="160"/>
        <v>0.55689424902650742</v>
      </c>
      <c r="AX103" s="181">
        <f t="shared" si="138"/>
        <v>4.8449799665306159</v>
      </c>
      <c r="AY103" s="181">
        <f t="shared" si="139"/>
        <v>0.3212516694557821</v>
      </c>
      <c r="AZ103" s="181">
        <f t="shared" si="161"/>
        <v>15.081571326114124</v>
      </c>
      <c r="BA103" s="474">
        <f t="shared" si="140"/>
        <v>9.4733333333333327</v>
      </c>
      <c r="BB103" s="6">
        <f t="shared" si="141"/>
        <v>2.6172486519276066</v>
      </c>
      <c r="BC103" s="6"/>
      <c r="BD103" s="181">
        <f t="shared" si="162"/>
        <v>0.62473198482181991</v>
      </c>
      <c r="BE103" s="181">
        <f t="shared" si="142"/>
        <v>0.55726410298342621</v>
      </c>
      <c r="BF103" s="181"/>
      <c r="BG103" s="548">
        <f t="shared" si="143"/>
        <v>0.13660151850079369</v>
      </c>
      <c r="BH103" s="548">
        <f t="shared" si="144"/>
        <v>4.5526104857916985E-2</v>
      </c>
      <c r="BI103" s="548">
        <f t="shared" si="145"/>
        <v>1.440243747482347E-3</v>
      </c>
      <c r="BJ103" s="548">
        <f t="shared" si="146"/>
        <v>4.9195665896033568E-3</v>
      </c>
      <c r="BK103">
        <f t="shared" si="147"/>
        <v>3.48E-3</v>
      </c>
      <c r="BL103" s="474">
        <f t="shared" si="163"/>
        <v>191.96743369579639</v>
      </c>
      <c r="BM103" s="548">
        <f t="shared" si="148"/>
        <v>0.10289999999999999</v>
      </c>
      <c r="BN103" s="548"/>
      <c r="BP103" s="474">
        <f t="shared" si="164"/>
        <v>102.89999999999999</v>
      </c>
      <c r="BQ103" s="548">
        <f t="shared" si="149"/>
        <v>0</v>
      </c>
      <c r="BR103" s="548">
        <f t="shared" si="150"/>
        <v>0</v>
      </c>
      <c r="BS103" s="548">
        <f t="shared" si="151"/>
        <v>1.8038689107286544E-2</v>
      </c>
      <c r="BT103" s="548">
        <f t="shared" si="152"/>
        <v>0.25436144824285739</v>
      </c>
      <c r="BU103" s="474">
        <f t="shared" si="165"/>
        <v>272.40013735014395</v>
      </c>
      <c r="BV103" s="181">
        <f t="shared" si="166"/>
        <v>0.56726757104594028</v>
      </c>
      <c r="BW103" s="6">
        <f t="shared" si="167"/>
        <v>4.3604819698775543</v>
      </c>
      <c r="BX103" s="181">
        <f t="shared" si="168"/>
        <v>0.88488303507819299</v>
      </c>
      <c r="BY103" s="6">
        <f t="shared" si="169"/>
        <v>88.488303507819296</v>
      </c>
      <c r="CB103" s="583">
        <f t="shared" si="153"/>
        <v>-50</v>
      </c>
      <c r="CC103">
        <f t="shared" si="154"/>
        <v>-50</v>
      </c>
    </row>
    <row r="104" spans="5:81" x14ac:dyDescent="0.2">
      <c r="E104" s="178">
        <v>99</v>
      </c>
      <c r="F104" s="225">
        <f t="shared" si="180"/>
        <v>0.29699999999999999</v>
      </c>
      <c r="G104" s="225"/>
      <c r="H104" s="225">
        <f t="shared" si="171"/>
        <v>4.4550000000000001</v>
      </c>
      <c r="I104" s="561">
        <f t="shared" si="110"/>
        <v>12</v>
      </c>
      <c r="J104" s="180">
        <f t="shared" si="111"/>
        <v>14.816118544844606</v>
      </c>
      <c r="K104" s="456">
        <f t="shared" si="112"/>
        <v>27.25</v>
      </c>
      <c r="L104" s="456"/>
      <c r="M104" s="225">
        <f t="shared" si="113"/>
        <v>0.55963302752293576</v>
      </c>
      <c r="N104" s="180">
        <f t="shared" si="114"/>
        <v>4.3819266055045869</v>
      </c>
      <c r="O104" s="180">
        <f t="shared" si="156"/>
        <v>4.3261372078188476</v>
      </c>
      <c r="P104" s="225">
        <f t="shared" si="172"/>
        <v>0.29212844036697244</v>
      </c>
      <c r="Q104" s="225">
        <f t="shared" si="116"/>
        <v>14.75396163469558</v>
      </c>
      <c r="R104" s="225">
        <f t="shared" si="173"/>
        <v>0.32763407652821697</v>
      </c>
      <c r="S104" s="180">
        <f t="shared" si="118"/>
        <v>14.566118544844606</v>
      </c>
      <c r="T104" s="552">
        <f t="shared" si="174"/>
        <v>14.566118544844606</v>
      </c>
      <c r="U104" s="552">
        <f t="shared" si="120"/>
        <v>1.45</v>
      </c>
      <c r="V104" s="225">
        <f t="shared" si="175"/>
        <v>4.833333333333333</v>
      </c>
      <c r="W104" s="225">
        <f t="shared" si="122"/>
        <v>3.9146555033593189</v>
      </c>
      <c r="X104" s="205">
        <f t="shared" si="123"/>
        <v>350</v>
      </c>
      <c r="Y104" s="456">
        <f t="shared" si="157"/>
        <v>114.31198858023114</v>
      </c>
      <c r="AA104" s="225">
        <f t="shared" si="124"/>
        <v>0.47357823840381469</v>
      </c>
      <c r="AB104" s="181">
        <f t="shared" si="176"/>
        <v>1.2785487291301414</v>
      </c>
      <c r="AC104" s="181">
        <f t="shared" si="177"/>
        <v>0.10596124959960547</v>
      </c>
      <c r="AD104" s="181"/>
      <c r="AE104" s="181">
        <f t="shared" si="127"/>
        <v>0.78293110067186378</v>
      </c>
      <c r="AF104" s="565">
        <f t="shared" ref="AF104:AF105" si="181">MAX(10000,F104/(0.5*AE104/1000000*Isw_min*Nps))/1000</f>
        <v>2616.1636193928944</v>
      </c>
      <c r="AG104" s="548">
        <f t="shared" si="128"/>
        <v>3.9733753359097082E-2</v>
      </c>
      <c r="AI104" s="181">
        <f t="shared" si="129"/>
        <v>0.83574766525025102</v>
      </c>
      <c r="AJ104" s="181">
        <f t="shared" si="178"/>
        <v>1.45</v>
      </c>
      <c r="AK104" s="181">
        <f t="shared" si="179"/>
        <v>2.0592592592592593</v>
      </c>
      <c r="AM104" s="565">
        <f t="shared" si="132"/>
        <v>297</v>
      </c>
      <c r="AN104" s="474">
        <f t="shared" si="133"/>
        <v>114.31198858023114</v>
      </c>
      <c r="AP104" t="str">
        <f t="shared" si="134"/>
        <v/>
      </c>
      <c r="AQ104" t="str">
        <f t="shared" si="135"/>
        <v/>
      </c>
      <c r="AS104" s="6">
        <f t="shared" si="158"/>
        <v>8.7479888366926524</v>
      </c>
      <c r="AT104" s="6">
        <f t="shared" si="136"/>
        <v>4.833333333333333</v>
      </c>
      <c r="AU104" s="6">
        <f t="shared" si="159"/>
        <v>3.9146555033593193</v>
      </c>
      <c r="AV104" s="6">
        <f t="shared" si="137"/>
        <v>3.9146555033593189</v>
      </c>
      <c r="AW104" s="181">
        <f t="shared" si="160"/>
        <v>0.55250794480445053</v>
      </c>
      <c r="AX104" s="181">
        <f t="shared" si="138"/>
        <v>4.8068191197987202</v>
      </c>
      <c r="AY104" s="181">
        <f t="shared" si="139"/>
        <v>0.32443174001677333</v>
      </c>
      <c r="AZ104" s="181">
        <f t="shared" si="161"/>
        <v>14.81611854484461</v>
      </c>
      <c r="BA104" s="474">
        <f t="shared" si="140"/>
        <v>9.5699999999999985</v>
      </c>
      <c r="BB104" s="6">
        <f t="shared" si="141"/>
        <v>2.6913256585595322</v>
      </c>
      <c r="BC104" s="6"/>
      <c r="BD104" s="181">
        <f t="shared" si="162"/>
        <v>0.6222668114647063</v>
      </c>
      <c r="BE104" s="181">
        <f t="shared" si="142"/>
        <v>0.56001548968120596</v>
      </c>
      <c r="BF104" s="181"/>
      <c r="BG104" s="548">
        <f t="shared" si="143"/>
        <v>0.13552559462765831</v>
      </c>
      <c r="BH104" s="548">
        <f t="shared" si="144"/>
        <v>4.5167524487763823E-2</v>
      </c>
      <c r="BI104" s="548">
        <f t="shared" si="145"/>
        <v>1.4288998572528893E-3</v>
      </c>
      <c r="BJ104" s="548">
        <f t="shared" si="146"/>
        <v>4.8808182711562037E-3</v>
      </c>
      <c r="BK104">
        <f t="shared" si="147"/>
        <v>3.48E-3</v>
      </c>
      <c r="BL104" s="474">
        <f t="shared" si="163"/>
        <v>190.48283724383123</v>
      </c>
      <c r="BM104" s="548">
        <f t="shared" si="148"/>
        <v>0.10394999999999999</v>
      </c>
      <c r="BN104" s="548"/>
      <c r="BP104" s="474">
        <f t="shared" si="164"/>
        <v>103.94999999999999</v>
      </c>
      <c r="BQ104" s="548">
        <f t="shared" si="149"/>
        <v>0</v>
      </c>
      <c r="BR104" s="548">
        <f t="shared" si="150"/>
        <v>0</v>
      </c>
      <c r="BS104" s="548">
        <f t="shared" si="151"/>
        <v>1.7685586206527985E-2</v>
      </c>
      <c r="BT104" s="548">
        <f t="shared" si="152"/>
        <v>0.25235800378943279</v>
      </c>
      <c r="BU104" s="474">
        <f t="shared" si="165"/>
        <v>270.04358999596082</v>
      </c>
      <c r="BV104" s="181">
        <f t="shared" si="166"/>
        <v>0.56447642723979197</v>
      </c>
      <c r="BW104" s="6">
        <f t="shared" si="167"/>
        <v>4.3261372078188476</v>
      </c>
      <c r="BX104" s="181">
        <f t="shared" si="168"/>
        <v>0.88457963164513531</v>
      </c>
      <c r="BY104" s="6">
        <f t="shared" si="169"/>
        <v>88.457963164513529</v>
      </c>
      <c r="CB104" s="583">
        <f t="shared" si="153"/>
        <v>-50</v>
      </c>
      <c r="CC104">
        <f t="shared" si="154"/>
        <v>-50</v>
      </c>
    </row>
    <row r="105" spans="5:81" x14ac:dyDescent="0.2">
      <c r="E105" s="178">
        <v>100</v>
      </c>
      <c r="F105" s="225">
        <f t="shared" si="180"/>
        <v>0.3</v>
      </c>
      <c r="G105" s="225"/>
      <c r="H105" s="225">
        <f t="shared" si="171"/>
        <v>4.5</v>
      </c>
      <c r="I105" s="561">
        <f t="shared" si="110"/>
        <v>12</v>
      </c>
      <c r="J105" s="180">
        <f t="shared" si="111"/>
        <v>14.556099172887462</v>
      </c>
      <c r="K105" s="456">
        <f t="shared" si="112"/>
        <v>27.25</v>
      </c>
      <c r="L105" s="456"/>
      <c r="M105" s="225">
        <f t="shared" si="113"/>
        <v>0.55963302752293576</v>
      </c>
      <c r="N105" s="180">
        <f t="shared" si="114"/>
        <v>4.3819266055045869</v>
      </c>
      <c r="O105" s="180">
        <f t="shared" si="156"/>
        <v>4.2918297518662385</v>
      </c>
      <c r="P105" s="225">
        <f t="shared" si="172"/>
        <v>0.29212844036697244</v>
      </c>
      <c r="Q105" s="225">
        <f t="shared" si="116"/>
        <v>14.606422018348624</v>
      </c>
      <c r="R105" s="225">
        <f t="shared" si="173"/>
        <v>0.32948942706438922</v>
      </c>
      <c r="S105" s="180">
        <f t="shared" si="118"/>
        <v>14.306099172887462</v>
      </c>
      <c r="T105" s="552">
        <f t="shared" si="174"/>
        <v>14.306099172887462</v>
      </c>
      <c r="U105" s="552">
        <f t="shared" si="120"/>
        <v>1.45</v>
      </c>
      <c r="V105" s="225">
        <f t="shared" si="175"/>
        <v>4.833333333333333</v>
      </c>
      <c r="W105" s="225">
        <f t="shared" si="122"/>
        <v>3.984584009157631</v>
      </c>
      <c r="X105" s="205">
        <f t="shared" si="123"/>
        <v>350</v>
      </c>
      <c r="Y105" s="456">
        <f t="shared" si="157"/>
        <v>113.40546312237386</v>
      </c>
      <c r="AA105" s="225">
        <f t="shared" si="124"/>
        <v>0.46982263293554888</v>
      </c>
      <c r="AB105" s="181">
        <f t="shared" si="176"/>
        <v>1.291067414024361</v>
      </c>
      <c r="AC105" s="181">
        <f t="shared" si="177"/>
        <v>0.10615022105698775</v>
      </c>
      <c r="AD105" s="181"/>
      <c r="AE105" s="181">
        <f t="shared" si="127"/>
        <v>0.79691680183152624</v>
      </c>
      <c r="AF105" s="565">
        <f t="shared" si="181"/>
        <v>2596.2126943318899</v>
      </c>
      <c r="AG105" s="548">
        <f t="shared" si="128"/>
        <v>4.0443527692949947E-2</v>
      </c>
      <c r="AI105" s="181">
        <f t="shared" si="129"/>
        <v>0.83255485084245817</v>
      </c>
      <c r="AJ105" s="181">
        <f t="shared" si="178"/>
        <v>1.45</v>
      </c>
      <c r="AK105" s="181">
        <f t="shared" si="179"/>
        <v>2.0592592592592593</v>
      </c>
      <c r="AM105" s="565">
        <f t="shared" si="132"/>
        <v>300</v>
      </c>
      <c r="AN105" s="474">
        <f t="shared" si="133"/>
        <v>113.40546312237386</v>
      </c>
      <c r="AP105" t="str">
        <f t="shared" si="134"/>
        <v/>
      </c>
      <c r="AQ105" s="4" t="str">
        <f t="shared" si="135"/>
        <v/>
      </c>
      <c r="AS105" s="6">
        <f t="shared" si="158"/>
        <v>8.8179173424909649</v>
      </c>
      <c r="AT105" s="6">
        <f t="shared" si="136"/>
        <v>4.833333333333333</v>
      </c>
      <c r="AU105" s="6">
        <f t="shared" si="159"/>
        <v>3.9845840091576319</v>
      </c>
      <c r="AV105" s="6">
        <f t="shared" si="137"/>
        <v>3.984584009157631</v>
      </c>
      <c r="AW105" s="181">
        <f t="shared" si="160"/>
        <v>0.54812640509147359</v>
      </c>
      <c r="AX105" s="181">
        <f t="shared" si="138"/>
        <v>4.7686997242958213</v>
      </c>
      <c r="AY105" s="181">
        <f t="shared" si="139"/>
        <v>0.32760835630868163</v>
      </c>
      <c r="AZ105" s="181">
        <f t="shared" si="161"/>
        <v>14.556099172887462</v>
      </c>
      <c r="BA105" s="474">
        <f t="shared" si="140"/>
        <v>9.6666666666666679</v>
      </c>
      <c r="BB105" s="6">
        <f t="shared" si="141"/>
        <v>2.7670722285816884</v>
      </c>
      <c r="BC105" s="6"/>
      <c r="BD105" s="181">
        <f t="shared" si="162"/>
        <v>0.61979452689441716</v>
      </c>
      <c r="BE105" s="181">
        <f t="shared" si="142"/>
        <v>0.56275045780972843</v>
      </c>
      <c r="BF105" s="181"/>
      <c r="BG105" s="548">
        <f t="shared" si="143"/>
        <v>0.13445083944889602</v>
      </c>
      <c r="BH105" s="548">
        <f t="shared" si="144"/>
        <v>4.4809333616227964E-2</v>
      </c>
      <c r="BI105" s="548">
        <f t="shared" si="145"/>
        <v>1.4175682890296732E-3</v>
      </c>
      <c r="BJ105" s="548">
        <f t="shared" si="146"/>
        <v>4.8421120420639452E-3</v>
      </c>
      <c r="BK105">
        <f t="shared" si="147"/>
        <v>3.48E-3</v>
      </c>
      <c r="BL105" s="474">
        <f t="shared" si="163"/>
        <v>188.99985339621762</v>
      </c>
      <c r="BM105" s="548">
        <f t="shared" si="148"/>
        <v>0.105</v>
      </c>
      <c r="BN105" s="548"/>
      <c r="BP105" s="474">
        <f t="shared" si="164"/>
        <v>105</v>
      </c>
      <c r="BQ105" s="548">
        <f t="shared" si="149"/>
        <v>0</v>
      </c>
      <c r="BR105" s="548">
        <f t="shared" si="150"/>
        <v>0</v>
      </c>
      <c r="BS105" s="548">
        <f t="shared" si="151"/>
        <v>1.7337039997895626E-2</v>
      </c>
      <c r="BT105" s="548">
        <f t="shared" si="152"/>
        <v>0.25035673552553067</v>
      </c>
      <c r="BU105" s="474">
        <f t="shared" si="165"/>
        <v>267.69377552342632</v>
      </c>
      <c r="BV105" s="181">
        <f t="shared" si="166"/>
        <v>0.56169362891964392</v>
      </c>
      <c r="BW105" s="6">
        <f t="shared" si="167"/>
        <v>4.2918297518662385</v>
      </c>
      <c r="BX105" s="181">
        <f t="shared" si="168"/>
        <v>0.88427095434560488</v>
      </c>
      <c r="BY105" s="6">
        <f t="shared" si="169"/>
        <v>88.427095434560485</v>
      </c>
      <c r="CB105" s="583">
        <f t="shared" si="153"/>
        <v>-50</v>
      </c>
      <c r="CC105">
        <f t="shared" si="154"/>
        <v>-50</v>
      </c>
    </row>
    <row r="106" spans="5:81" x14ac:dyDescent="0.2">
      <c r="E106" s="178"/>
      <c r="F106" s="225"/>
      <c r="G106" s="225"/>
      <c r="H106" s="225"/>
      <c r="I106" s="561"/>
      <c r="J106" s="456"/>
      <c r="K106" s="456"/>
      <c r="L106" s="456"/>
      <c r="M106" s="225"/>
      <c r="N106" s="180"/>
      <c r="O106" s="180"/>
      <c r="P106" s="225"/>
      <c r="Q106" s="225"/>
      <c r="R106" s="225"/>
      <c r="S106" s="180"/>
      <c r="T106" s="180"/>
      <c r="U106" s="225"/>
      <c r="V106" s="225"/>
      <c r="W106" s="225"/>
      <c r="X106" s="205"/>
      <c r="Y106" s="456"/>
      <c r="AA106" s="225"/>
      <c r="AB106" s="181"/>
      <c r="AC106" s="181"/>
      <c r="AD106" s="181"/>
      <c r="AE106" s="181"/>
      <c r="AF106" s="565"/>
      <c r="AI106" s="181"/>
      <c r="AJ106" s="181"/>
      <c r="AK106" s="181"/>
      <c r="AM106" s="565"/>
      <c r="AN106" s="474"/>
      <c r="AQ106" s="4"/>
      <c r="AS106" s="6"/>
      <c r="AT106" s="6"/>
      <c r="AU106" s="6"/>
      <c r="AV106" s="6"/>
      <c r="AW106" s="181"/>
      <c r="AX106" s="181"/>
      <c r="AY106" s="181"/>
      <c r="AZ106" s="181"/>
      <c r="BA106" s="474"/>
      <c r="BB106" s="6"/>
      <c r="BC106" s="6"/>
      <c r="BD106" s="181"/>
      <c r="BE106" s="181"/>
      <c r="BF106" s="181"/>
      <c r="BG106" s="548"/>
      <c r="BH106" s="548"/>
      <c r="BI106" s="548"/>
      <c r="BJ106" s="548"/>
      <c r="BL106" s="474"/>
      <c r="BM106" s="548"/>
      <c r="BN106" s="548"/>
      <c r="BP106" s="474"/>
      <c r="BQ106" s="548"/>
      <c r="BR106" s="548"/>
      <c r="BS106" s="548"/>
      <c r="BT106" s="548"/>
      <c r="BU106" s="474"/>
      <c r="BV106" s="181"/>
      <c r="BW106" s="6"/>
      <c r="BX106" s="181"/>
      <c r="BY106" s="6"/>
      <c r="CB106" s="583"/>
    </row>
    <row r="107" spans="5:81" x14ac:dyDescent="0.2">
      <c r="H107" s="225"/>
      <c r="I107" s="561"/>
      <c r="J107" s="456"/>
      <c r="K107" s="456"/>
      <c r="L107" s="456"/>
      <c r="M107" s="225"/>
      <c r="N107" s="180"/>
      <c r="O107" s="180"/>
      <c r="P107" s="225"/>
      <c r="Q107" s="225"/>
      <c r="R107" s="225"/>
      <c r="S107" s="180"/>
      <c r="T107" s="180"/>
      <c r="U107" s="225"/>
      <c r="V107" s="225"/>
      <c r="W107" s="225"/>
      <c r="X107" s="205"/>
      <c r="Y107" s="456"/>
      <c r="AA107" s="225"/>
      <c r="AB107" s="181"/>
      <c r="AC107" s="181"/>
      <c r="AD107" s="181"/>
      <c r="AE107" s="181"/>
      <c r="AF107" s="565"/>
      <c r="AI107" s="181"/>
      <c r="AJ107" s="181"/>
      <c r="AK107" s="181"/>
      <c r="AM107" s="565"/>
      <c r="AN107" s="474"/>
      <c r="AS107" s="6"/>
      <c r="AT107" s="6"/>
      <c r="AU107" s="6"/>
      <c r="AV107" s="6"/>
      <c r="AW107" s="181"/>
      <c r="AX107" s="181"/>
      <c r="AY107" s="181"/>
      <c r="AZ107" s="181"/>
      <c r="BD107" s="181"/>
      <c r="BE107" s="181"/>
      <c r="BG107" s="548"/>
      <c r="BH107" s="548"/>
      <c r="BI107" s="548"/>
      <c r="BJ107" s="548"/>
      <c r="BL107" s="474"/>
      <c r="BM107" s="548"/>
      <c r="BP107" s="474"/>
      <c r="BQ107" s="548"/>
      <c r="BR107" s="548"/>
      <c r="BS107" s="548"/>
      <c r="BT107" s="548"/>
      <c r="BU107" s="474"/>
      <c r="BV107" s="181"/>
      <c r="BW107" s="6"/>
      <c r="BX107" s="181"/>
      <c r="BY107" s="6"/>
      <c r="CB107" s="583"/>
    </row>
    <row r="108" spans="5:81" x14ac:dyDescent="0.2">
      <c r="E108" s="458" t="s">
        <v>447</v>
      </c>
      <c r="H108" s="225"/>
      <c r="I108" s="561"/>
      <c r="J108" s="456"/>
      <c r="K108" s="456"/>
      <c r="L108" s="456"/>
      <c r="M108" s="225"/>
      <c r="N108" s="180"/>
      <c r="O108" s="180"/>
      <c r="P108" s="225"/>
      <c r="Q108" s="225"/>
      <c r="R108" s="225"/>
      <c r="S108" s="180"/>
      <c r="T108" s="180"/>
      <c r="U108" s="225"/>
      <c r="V108" s="225"/>
      <c r="W108" s="225"/>
      <c r="X108" s="205"/>
      <c r="Y108" s="456"/>
      <c r="AA108" s="225"/>
      <c r="AB108" s="181"/>
      <c r="AC108" s="181"/>
      <c r="AD108" s="181"/>
      <c r="AE108" s="181"/>
      <c r="AF108" s="565"/>
      <c r="AI108" s="181"/>
      <c r="AJ108" s="181"/>
      <c r="AK108" s="181"/>
      <c r="AM108" s="565"/>
      <c r="AN108" s="474"/>
      <c r="AS108" s="6"/>
      <c r="AT108" s="6"/>
      <c r="AU108" s="6"/>
      <c r="AV108" s="6"/>
      <c r="AW108" s="181"/>
      <c r="AX108" s="181"/>
      <c r="AY108" s="181"/>
      <c r="AZ108" s="181"/>
      <c r="BD108" s="181"/>
      <c r="BE108" s="181"/>
      <c r="BG108" s="548"/>
      <c r="BH108" s="548"/>
      <c r="BI108" s="548"/>
      <c r="BJ108" s="548"/>
      <c r="BL108" s="474"/>
      <c r="BM108" s="548"/>
      <c r="BP108" s="474"/>
      <c r="BQ108" s="548"/>
      <c r="BR108" s="548"/>
      <c r="BS108" s="548"/>
      <c r="BT108" s="548"/>
      <c r="BU108" s="474"/>
      <c r="BV108" s="181"/>
      <c r="BW108" s="6"/>
      <c r="BX108" s="181"/>
      <c r="BY108" s="6"/>
      <c r="CB108" s="583"/>
    </row>
    <row r="109" spans="5:81" ht="45" customHeight="1" thickBot="1" x14ac:dyDescent="0.25">
      <c r="E109" s="249" t="s">
        <v>25</v>
      </c>
      <c r="F109" s="457" t="s">
        <v>195</v>
      </c>
      <c r="G109" s="268"/>
      <c r="H109" s="547" t="s">
        <v>224</v>
      </c>
      <c r="I109" s="250" t="s">
        <v>425</v>
      </c>
      <c r="J109" s="251" t="s">
        <v>431</v>
      </c>
      <c r="K109" s="547" t="s">
        <v>426</v>
      </c>
      <c r="L109" s="547"/>
      <c r="M109" s="252" t="s">
        <v>48</v>
      </c>
      <c r="N109" s="547" t="s">
        <v>415</v>
      </c>
      <c r="O109" s="547" t="s">
        <v>687</v>
      </c>
      <c r="P109" s="547" t="s">
        <v>416</v>
      </c>
      <c r="Q109" s="547" t="s">
        <v>446</v>
      </c>
      <c r="R109" s="547" t="s">
        <v>685</v>
      </c>
      <c r="S109" s="547" t="s">
        <v>688</v>
      </c>
      <c r="T109" s="547" t="s">
        <v>686</v>
      </c>
      <c r="U109" s="547" t="s">
        <v>427</v>
      </c>
      <c r="V109" s="547" t="s">
        <v>479</v>
      </c>
      <c r="W109" s="547" t="s">
        <v>478</v>
      </c>
      <c r="X109" s="567" t="s">
        <v>433</v>
      </c>
      <c r="Y109" s="562" t="s">
        <v>438</v>
      </c>
      <c r="AA109" s="253" t="s">
        <v>430</v>
      </c>
      <c r="AB109" s="253" t="s">
        <v>477</v>
      </c>
      <c r="AC109" s="253" t="s">
        <v>436</v>
      </c>
      <c r="AD109" s="564"/>
      <c r="AE109" s="253" t="s">
        <v>476</v>
      </c>
      <c r="AF109" s="253" t="s">
        <v>439</v>
      </c>
      <c r="AG109" s="253" t="s">
        <v>440</v>
      </c>
      <c r="AH109" s="564"/>
      <c r="AI109" s="253" t="s">
        <v>442</v>
      </c>
      <c r="AJ109" s="568" t="s">
        <v>443</v>
      </c>
      <c r="AK109" s="568" t="s">
        <v>444</v>
      </c>
      <c r="AM109" s="563" t="s">
        <v>276</v>
      </c>
      <c r="AN109" s="563" t="s">
        <v>445</v>
      </c>
      <c r="AP109" s="253" t="s">
        <v>276</v>
      </c>
      <c r="AQ109" s="253" t="s">
        <v>445</v>
      </c>
      <c r="AR109" s="569"/>
      <c r="AS109" s="253" t="s">
        <v>480</v>
      </c>
      <c r="AT109" s="6"/>
      <c r="AU109" s="6"/>
      <c r="AV109" s="6"/>
      <c r="AW109" s="181"/>
      <c r="AX109" s="181"/>
      <c r="AY109" s="181"/>
      <c r="AZ109" s="181"/>
      <c r="BA109" s="253" t="s">
        <v>495</v>
      </c>
      <c r="BB109" s="253" t="s">
        <v>496</v>
      </c>
      <c r="BC109" s="564"/>
      <c r="BD109" s="578" t="s">
        <v>469</v>
      </c>
      <c r="BE109" s="253" t="s">
        <v>470</v>
      </c>
      <c r="BF109" s="564"/>
      <c r="BG109" s="578" t="s">
        <v>487</v>
      </c>
      <c r="BH109" s="253" t="s">
        <v>488</v>
      </c>
      <c r="BI109" s="253" t="s">
        <v>486</v>
      </c>
      <c r="BJ109" s="253" t="s">
        <v>482</v>
      </c>
      <c r="BK109" s="253" t="s">
        <v>491</v>
      </c>
      <c r="BL109" s="253" t="s">
        <v>506</v>
      </c>
      <c r="BM109" s="578" t="s">
        <v>489</v>
      </c>
      <c r="BN109" s="253" t="s">
        <v>490</v>
      </c>
      <c r="BO109" s="253" t="s">
        <v>498</v>
      </c>
      <c r="BP109" s="253" t="s">
        <v>502</v>
      </c>
      <c r="BQ109" s="578" t="s">
        <v>471</v>
      </c>
      <c r="BR109" s="253" t="s">
        <v>472</v>
      </c>
      <c r="BS109" s="253" t="s">
        <v>481</v>
      </c>
      <c r="BT109" s="253" t="s">
        <v>499</v>
      </c>
      <c r="BU109" s="253" t="s">
        <v>501</v>
      </c>
      <c r="BV109" s="578" t="s">
        <v>497</v>
      </c>
      <c r="BW109" s="253" t="s">
        <v>224</v>
      </c>
      <c r="BX109" s="253" t="s">
        <v>47</v>
      </c>
      <c r="BY109" s="253" t="s">
        <v>500</v>
      </c>
      <c r="BZ109" s="253"/>
      <c r="CB109" s="583"/>
    </row>
    <row r="110" spans="5:81" x14ac:dyDescent="0.2">
      <c r="E110" s="178">
        <v>0.1</v>
      </c>
      <c r="F110" s="225">
        <v>1.0000000000000001E-9</v>
      </c>
      <c r="G110" s="225"/>
      <c r="H110" s="225">
        <f t="shared" ref="H110:H141" si="182">F110*Vout</f>
        <v>1.5000000000000002E-8</v>
      </c>
      <c r="I110" s="561">
        <f t="shared" ref="I110:I141" si="183">VIN_min</f>
        <v>7</v>
      </c>
      <c r="J110" s="456">
        <f t="shared" ref="J110:J141" si="184">(T110+Vfwd1)*Nps</f>
        <v>15.25</v>
      </c>
      <c r="K110" s="456">
        <f t="shared" ref="K110:K141" si="185">(Vout+Vfwd1)*Nps+I110</f>
        <v>22.25</v>
      </c>
      <c r="L110" s="456"/>
      <c r="M110" s="225">
        <f t="shared" ref="M110:M141" si="186">(Vout+Vfwd1)*Nps/((Vout+Vfwd1)*Nps+I110)</f>
        <v>0.6853932584269663</v>
      </c>
      <c r="N110" s="180">
        <f>M110*I110*Isw_max*0.5*Efficiency</f>
        <v>3.1305337078651685</v>
      </c>
      <c r="O110" s="180">
        <f t="shared" si="156"/>
        <v>1.5000000000000002E-8</v>
      </c>
      <c r="P110" s="225">
        <f t="shared" ref="P110:P141" si="187">N110/Vout</f>
        <v>0.20870224719101124</v>
      </c>
      <c r="Q110" s="225">
        <f t="shared" ref="Q110:Q141" si="188">MIN(Vout,N110/F110)</f>
        <v>15</v>
      </c>
      <c r="R110" s="225"/>
      <c r="S110" s="180">
        <f t="shared" ref="S110:S141" si="189">(SQRT(Isw_max^2*Nps^2*I110^2+4*Isw_max*F110/Efficiency*(Nps^2*Vfwd1*I110-Nps*I110^2)+4*(F110/Efficiency)^2*Nps^2*Vfwd1^2+8*(F110/Efficiency)^2*Nps*Vfwd1*I110+4*(F110/Efficiency)^2*I110^2)-2*F110/Efficiency*I110-2*F110/Efficiency*Nps*Vfwd1+Isw_max*Nps*I110)/(4*F110/Efficiency*Nps)</f>
        <v>4567499993.000001</v>
      </c>
      <c r="T110" s="180">
        <f t="shared" ref="T110:T141" si="190">MIN(Vout, S110)</f>
        <v>15</v>
      </c>
      <c r="U110" s="225">
        <f t="shared" ref="U110:U141" si="191">MIN(2*Vout*F110/(Efficiency*I110*M110), Isw_max)</f>
        <v>6.947697111631539E-9</v>
      </c>
      <c r="V110" s="225">
        <f t="shared" ref="V110:V141" si="192">L*U110/I110*1000000</f>
        <v>3.9701126352180225E-8</v>
      </c>
      <c r="W110" s="225">
        <f t="shared" ref="W110:W141" si="193">L*U110/J110*1000000</f>
        <v>1.8223467833787645E-8</v>
      </c>
      <c r="X110" s="205">
        <f t="shared" ref="X110:X141" si="194">IF(1/((350000*L)*(1/I110+1/J110))&gt;Isw_min, 350, 0.001/((Isw_min*L)*(1/I110+1/J110)))</f>
        <v>350</v>
      </c>
      <c r="Y110" s="456">
        <f t="shared" ref="Y110:Y169" si="195">MIN(1/(V110+W110)*1000, 350)</f>
        <v>350</v>
      </c>
      <c r="AA110" s="225">
        <f t="shared" ref="AA110:AA141" si="196">1/((X110*1000*L)*(1/I110+1/J110))</f>
        <v>0.34269662921348309</v>
      </c>
      <c r="AB110" s="181">
        <f t="shared" ref="AB110:AB141" si="197">L*AA110/J110*1000000</f>
        <v>0.89887640449438189</v>
      </c>
      <c r="AC110" s="181">
        <f t="shared" ref="AC110:AC141" si="198">0.5*AB110*AA110*Nps*X110/1000</f>
        <v>5.3907334932458008E-2</v>
      </c>
      <c r="AD110" s="181"/>
      <c r="AE110" s="181">
        <f t="shared" ref="AE110:AE141" si="199">L*Isw_min/J110*1000000</f>
        <v>0.76065573770491812</v>
      </c>
      <c r="AF110" s="565">
        <f t="shared" ref="AF110:AF141" si="200">MAX(10000,F110/(0.5*AE110/1000000*Isw_min*Nps))/1000</f>
        <v>10</v>
      </c>
      <c r="AG110" s="548">
        <f t="shared" ref="AG110:AG141" si="201">0.5*AE110/1000000*Isw_min*Nps*X110*1000</f>
        <v>3.8603278688524589E-2</v>
      </c>
      <c r="AI110" s="181">
        <f t="shared" ref="AI110:AI141" si="202">SQRT(F110/(0.5*L/J110*Fsw_DCM*Nps))</f>
        <v>4.6675169293441546E-5</v>
      </c>
      <c r="AJ110" s="181">
        <f t="shared" ref="AJ110:AJ141" si="203">MAX(IF(F110&gt;AC110,U110,AI110),Isw_min)</f>
        <v>0.28999999999999998</v>
      </c>
      <c r="AK110" s="181">
        <f t="shared" ref="AK110:AK141" si="204">IF(F110&gt;AG110, (AJ110-Isw_min)/1.08*0.8+1.2, AF110*0.2/350+1)</f>
        <v>1.0057142857142858</v>
      </c>
      <c r="AM110" s="565">
        <f t="shared" ref="AM110:AM141" si="205">F110*1000</f>
        <v>1.0000000000000002E-6</v>
      </c>
      <c r="AN110" s="474">
        <f t="shared" ref="AN110:AN141" si="206">IF(F110&gt;AG110, Y110, AF110)</f>
        <v>10</v>
      </c>
      <c r="AP110" s="474">
        <f t="shared" ref="AP110:AP141" si="207">IF(H110&gt;N110, "",AM110)</f>
        <v>1.0000000000000002E-6</v>
      </c>
      <c r="AQ110" s="474">
        <f t="shared" ref="AQ110:AQ141" si="208">IF(H110&gt;N110, "",AN110)</f>
        <v>10</v>
      </c>
      <c r="AS110" s="6">
        <f t="shared" si="158"/>
        <v>100</v>
      </c>
      <c r="AT110" s="6">
        <f t="shared" ref="AT110:AT141" si="209">L*AJ110/I110*1000000</f>
        <v>1.6571428571428573</v>
      </c>
      <c r="AU110" s="6">
        <f t="shared" ref="AU110:AU169" si="210">AS110-AT110</f>
        <v>98.342857142857142</v>
      </c>
      <c r="AV110" s="6"/>
      <c r="AW110" s="181">
        <f t="shared" ref="AW110:AW169" si="211">AT110/AS110</f>
        <v>1.6571428571428574E-2</v>
      </c>
      <c r="AX110" s="181">
        <f t="shared" si="138"/>
        <v>1.6819999999999998E-2</v>
      </c>
      <c r="AY110" s="181">
        <f t="shared" si="139"/>
        <v>0.14259714285714284</v>
      </c>
      <c r="AZ110" s="181">
        <f t="shared" si="161"/>
        <v>0.1179546775130738</v>
      </c>
      <c r="BD110" s="181">
        <f t="shared" si="162"/>
        <v>2.155347723575899E-2</v>
      </c>
      <c r="BE110" s="181">
        <f t="shared" si="142"/>
        <v>0.16603849238167923</v>
      </c>
      <c r="BG110" s="548">
        <f t="shared" ref="BG110:BG169" si="212">Rdson*BD110^2</f>
        <v>1.6259333333333334E-4</v>
      </c>
      <c r="BH110" s="548">
        <f t="shared" ref="BH110:BH169" si="213">0.5*K110*AJ110*AN110*1000*Trise</f>
        <v>6.4524999999999999E-4</v>
      </c>
      <c r="BI110" s="548">
        <f t="shared" ref="BI110:BI169" si="214">Qg*Vdd*AN110*1000</f>
        <v>1.25E-4</v>
      </c>
      <c r="BJ110" s="548">
        <f t="shared" ref="BJ110:BJ169" si="215">0.5*(Coss+Csw)*K110^2*AN110*1000</f>
        <v>2.8466093749999994E-4</v>
      </c>
      <c r="BK110">
        <f t="shared" ref="BK110:BK169" si="216">I110*IQ</f>
        <v>2.0300000000000001E-3</v>
      </c>
      <c r="BL110" s="474">
        <f t="shared" ref="BL110:BL169" si="217">SUM(BG110:BK110)*1000</f>
        <v>3.2475042708333333</v>
      </c>
      <c r="BM110" s="548">
        <f t="shared" ref="BM110:BM169" si="218">Vfwd2*F110</f>
        <v>3.4999999999999998E-10</v>
      </c>
      <c r="BP110" s="474">
        <f t="shared" ref="BP110:BP169" si="219">SUM(BM110:BO110)*1000</f>
        <v>3.4999999999999998E-7</v>
      </c>
      <c r="BQ110" s="548">
        <f t="shared" ref="BQ110:BQ169" si="220">Rdcr_pri*BD110^2</f>
        <v>0</v>
      </c>
      <c r="BR110" s="548">
        <f t="shared" ref="BR110:BR169" si="221">Rdcr_sec*BE110^2</f>
        <v>0</v>
      </c>
      <c r="BS110" s="548">
        <f t="shared" ref="BS110:BS169" si="222">AJ110^2.5*AN110^2.5*k_core</f>
        <v>7.1608569668720578E-7</v>
      </c>
      <c r="BT110" s="548">
        <f t="shared" ref="BT110:BT169" si="223">0.5*Lleak*0.000000001*AJ110^2*AN110*1000</f>
        <v>8.8305000000000002E-4</v>
      </c>
      <c r="BU110" s="474">
        <f t="shared" ref="BU110:BU169" si="224">SUM(BQ110:BT110)*1000</f>
        <v>0.88376608569668713</v>
      </c>
      <c r="BV110" s="181">
        <f t="shared" ref="BV110:BV169" si="225">SUM(BG110:BK110,BM110:BO110,BQ110:BT110)</f>
        <v>4.1312707065300205E-3</v>
      </c>
      <c r="BW110" s="6">
        <f t="shared" ref="BW110:BW169" si="226">MIN(H110,O110)</f>
        <v>1.5000000000000002E-8</v>
      </c>
      <c r="BX110" s="181">
        <f t="shared" ref="BX110:BX169" si="227">BW110/(BW110+BV110)</f>
        <v>3.6308309484116776E-6</v>
      </c>
      <c r="BY110" s="6">
        <f t="shared" ref="BY110:BY169" si="228">BX110*100</f>
        <v>3.6308309484116774E-4</v>
      </c>
      <c r="CB110" s="583">
        <f t="shared" ref="CB110:CB141" si="229">IF(ABS(F110-Ioutmax_Vinmin)&lt;Iout/200, AN110, -50)</f>
        <v>-50</v>
      </c>
      <c r="CC110">
        <f t="shared" ref="CC110:CC141" si="230">IF(ABS(F110-Ioutmax_Vinmin)&lt;Iout/200, N110*BX110, -50)</f>
        <v>-50</v>
      </c>
    </row>
    <row r="111" spans="5:81" x14ac:dyDescent="0.2">
      <c r="E111" s="178">
        <v>1</v>
      </c>
      <c r="F111" s="225">
        <f t="shared" ref="F111:F142" si="231">IF(PLOT_TYPE=1, E111/100*Iout_max, min_I*EXP(N111*rr/100))</f>
        <v>3.0000000000000001E-3</v>
      </c>
      <c r="G111" s="225"/>
      <c r="H111" s="225">
        <f t="shared" si="182"/>
        <v>4.4999999999999998E-2</v>
      </c>
      <c r="I111" s="561">
        <f t="shared" si="183"/>
        <v>7</v>
      </c>
      <c r="J111" s="456">
        <f t="shared" si="184"/>
        <v>15.25</v>
      </c>
      <c r="K111" s="456">
        <f t="shared" si="185"/>
        <v>22.25</v>
      </c>
      <c r="L111" s="456"/>
      <c r="M111" s="225">
        <f t="shared" si="186"/>
        <v>0.6853932584269663</v>
      </c>
      <c r="N111" s="180">
        <f t="shared" ref="N111:N141" si="232">M111*I111*Isw_max*0.5*Efficiency</f>
        <v>3.1305337078651685</v>
      </c>
      <c r="O111" s="180">
        <f t="shared" si="156"/>
        <v>4.4999999999999998E-2</v>
      </c>
      <c r="P111" s="225">
        <f t="shared" si="187"/>
        <v>0.20870224719101124</v>
      </c>
      <c r="Q111" s="225">
        <f t="shared" si="188"/>
        <v>15</v>
      </c>
      <c r="R111" s="225"/>
      <c r="S111" s="180">
        <f t="shared" si="189"/>
        <v>1515.5011545430759</v>
      </c>
      <c r="T111" s="180">
        <f t="shared" si="190"/>
        <v>15</v>
      </c>
      <c r="U111" s="225">
        <f t="shared" si="191"/>
        <v>2.0843091334894613E-2</v>
      </c>
      <c r="V111" s="225">
        <f t="shared" si="192"/>
        <v>0.11910337905654066</v>
      </c>
      <c r="W111" s="225">
        <f t="shared" si="193"/>
        <v>5.4670403501362923E-2</v>
      </c>
      <c r="X111" s="205">
        <f t="shared" si="194"/>
        <v>350</v>
      </c>
      <c r="Y111" s="456">
        <f t="shared" si="195"/>
        <v>350</v>
      </c>
      <c r="AA111" s="225">
        <f t="shared" si="196"/>
        <v>0.34269662921348309</v>
      </c>
      <c r="AB111" s="181">
        <f t="shared" si="197"/>
        <v>0.89887640449438189</v>
      </c>
      <c r="AC111" s="181">
        <f t="shared" si="198"/>
        <v>5.3907334932458008E-2</v>
      </c>
      <c r="AD111" s="181"/>
      <c r="AE111" s="181">
        <f t="shared" si="199"/>
        <v>0.76065573770491812</v>
      </c>
      <c r="AF111" s="565">
        <f t="shared" si="200"/>
        <v>27.199762187871581</v>
      </c>
      <c r="AG111" s="548">
        <f t="shared" si="201"/>
        <v>3.8603278688524589E-2</v>
      </c>
      <c r="AI111" s="181">
        <f t="shared" si="202"/>
        <v>8.0843764668119489E-2</v>
      </c>
      <c r="AJ111" s="181">
        <f t="shared" si="203"/>
        <v>0.28999999999999998</v>
      </c>
      <c r="AK111" s="181">
        <f t="shared" si="204"/>
        <v>1.0155427212502124</v>
      </c>
      <c r="AM111" s="565">
        <f t="shared" si="205"/>
        <v>3</v>
      </c>
      <c r="AN111" s="474">
        <f t="shared" si="206"/>
        <v>27.199762187871581</v>
      </c>
      <c r="AP111" s="474">
        <f t="shared" si="207"/>
        <v>3</v>
      </c>
      <c r="AQ111" s="474">
        <f t="shared" si="208"/>
        <v>27.199762187871581</v>
      </c>
      <c r="AS111" s="6">
        <f t="shared" si="158"/>
        <v>36.765027322404372</v>
      </c>
      <c r="AT111" s="6">
        <f t="shared" si="209"/>
        <v>1.6571428571428573</v>
      </c>
      <c r="AU111" s="6">
        <f t="shared" si="210"/>
        <v>35.107884465261513</v>
      </c>
      <c r="AV111" s="6"/>
      <c r="AW111" s="181">
        <f t="shared" si="211"/>
        <v>4.5073891625615765E-2</v>
      </c>
      <c r="AX111" s="181">
        <f t="shared" si="138"/>
        <v>4.5749999999999999E-2</v>
      </c>
      <c r="AY111" s="181">
        <f t="shared" si="139"/>
        <v>0.13846428571428571</v>
      </c>
      <c r="AZ111" s="181">
        <f t="shared" si="161"/>
        <v>0.33041011091049782</v>
      </c>
      <c r="BD111" s="181">
        <f t="shared" si="162"/>
        <v>3.5546749901663705E-2</v>
      </c>
      <c r="BE111" s="181">
        <f t="shared" si="142"/>
        <v>0.16361467508986441</v>
      </c>
      <c r="BG111" s="548">
        <f t="shared" si="212"/>
        <v>4.4224999999999999E-4</v>
      </c>
      <c r="BH111" s="548">
        <f t="shared" si="213"/>
        <v>1.7550646551724137E-3</v>
      </c>
      <c r="BI111" s="548">
        <f t="shared" si="214"/>
        <v>3.3999702734839474E-4</v>
      </c>
      <c r="BJ111" s="548">
        <f t="shared" si="215"/>
        <v>7.7427098041765751E-4</v>
      </c>
      <c r="BK111">
        <f t="shared" si="216"/>
        <v>2.0300000000000001E-3</v>
      </c>
      <c r="BL111" s="474">
        <f t="shared" si="217"/>
        <v>5.3415826629384657</v>
      </c>
      <c r="BM111" s="548">
        <f t="shared" si="218"/>
        <v>1.0499999999999999E-3</v>
      </c>
      <c r="BP111" s="474">
        <f t="shared" si="219"/>
        <v>1.05</v>
      </c>
      <c r="BQ111" s="548">
        <f t="shared" si="220"/>
        <v>0</v>
      </c>
      <c r="BR111" s="548">
        <f t="shared" si="221"/>
        <v>0</v>
      </c>
      <c r="BS111" s="548">
        <f t="shared" si="222"/>
        <v>8.7373104359560088E-6</v>
      </c>
      <c r="BT111" s="548">
        <f t="shared" si="223"/>
        <v>2.4018750000000004E-3</v>
      </c>
      <c r="BU111" s="474">
        <f t="shared" si="224"/>
        <v>2.4106123104359565</v>
      </c>
      <c r="BV111" s="181">
        <f t="shared" si="225"/>
        <v>8.802194973374422E-3</v>
      </c>
      <c r="BW111" s="6">
        <f t="shared" si="226"/>
        <v>4.4999999999999998E-2</v>
      </c>
      <c r="BX111" s="181">
        <f t="shared" si="227"/>
        <v>0.83639710279979385</v>
      </c>
      <c r="BY111" s="6">
        <f t="shared" si="228"/>
        <v>83.639710279979383</v>
      </c>
      <c r="CB111" s="583">
        <f t="shared" si="229"/>
        <v>-50</v>
      </c>
      <c r="CC111">
        <f t="shared" si="230"/>
        <v>-50</v>
      </c>
    </row>
    <row r="112" spans="5:81" x14ac:dyDescent="0.2">
      <c r="E112" s="178">
        <v>2</v>
      </c>
      <c r="F112" s="225">
        <f t="shared" si="231"/>
        <v>6.0000000000000001E-3</v>
      </c>
      <c r="G112" s="225"/>
      <c r="H112" s="225">
        <f t="shared" si="182"/>
        <v>0.09</v>
      </c>
      <c r="I112" s="561">
        <f t="shared" si="183"/>
        <v>7</v>
      </c>
      <c r="J112" s="456">
        <f t="shared" si="184"/>
        <v>15.25</v>
      </c>
      <c r="K112" s="456">
        <f t="shared" si="185"/>
        <v>22.25</v>
      </c>
      <c r="L112" s="456"/>
      <c r="M112" s="225">
        <f t="shared" si="186"/>
        <v>0.6853932584269663</v>
      </c>
      <c r="N112" s="180">
        <f t="shared" si="232"/>
        <v>3.1305337078651685</v>
      </c>
      <c r="O112" s="180">
        <f t="shared" si="156"/>
        <v>0.09</v>
      </c>
      <c r="P112" s="225">
        <f t="shared" si="187"/>
        <v>0.20870224719101124</v>
      </c>
      <c r="Q112" s="225">
        <f t="shared" si="188"/>
        <v>15</v>
      </c>
      <c r="R112" s="225"/>
      <c r="S112" s="180">
        <f t="shared" si="189"/>
        <v>754.2523194097023</v>
      </c>
      <c r="T112" s="180">
        <f t="shared" si="190"/>
        <v>15</v>
      </c>
      <c r="U112" s="225">
        <f t="shared" si="191"/>
        <v>4.1686182669789226E-2</v>
      </c>
      <c r="V112" s="225">
        <f t="shared" si="192"/>
        <v>0.23820675811308131</v>
      </c>
      <c r="W112" s="225">
        <f t="shared" si="193"/>
        <v>0.10934080700272585</v>
      </c>
      <c r="X112" s="205">
        <f t="shared" si="194"/>
        <v>350</v>
      </c>
      <c r="Y112" s="456">
        <f t="shared" si="195"/>
        <v>350</v>
      </c>
      <c r="AA112" s="225">
        <f t="shared" si="196"/>
        <v>0.34269662921348309</v>
      </c>
      <c r="AB112" s="181">
        <f t="shared" si="197"/>
        <v>0.89887640449438189</v>
      </c>
      <c r="AC112" s="181">
        <f t="shared" si="198"/>
        <v>5.3907334932458008E-2</v>
      </c>
      <c r="AD112" s="181"/>
      <c r="AE112" s="181">
        <f t="shared" si="199"/>
        <v>0.76065573770491812</v>
      </c>
      <c r="AF112" s="565">
        <f t="shared" si="200"/>
        <v>54.399524375743162</v>
      </c>
      <c r="AG112" s="548">
        <f t="shared" si="201"/>
        <v>3.8603278688524589E-2</v>
      </c>
      <c r="AI112" s="181">
        <f t="shared" si="202"/>
        <v>0.11433034842695342</v>
      </c>
      <c r="AJ112" s="181">
        <f t="shared" si="203"/>
        <v>0.28999999999999998</v>
      </c>
      <c r="AK112" s="181">
        <f t="shared" si="204"/>
        <v>1.0310854425004248</v>
      </c>
      <c r="AM112" s="565">
        <f t="shared" si="205"/>
        <v>6</v>
      </c>
      <c r="AN112" s="474">
        <f t="shared" si="206"/>
        <v>54.399524375743162</v>
      </c>
      <c r="AP112" s="474">
        <f t="shared" si="207"/>
        <v>6</v>
      </c>
      <c r="AQ112" s="474">
        <f t="shared" si="208"/>
        <v>54.399524375743162</v>
      </c>
      <c r="AS112" s="6">
        <f t="shared" si="158"/>
        <v>18.382513661202186</v>
      </c>
      <c r="AT112" s="6">
        <f t="shared" si="209"/>
        <v>1.6571428571428573</v>
      </c>
      <c r="AU112" s="6">
        <f t="shared" si="210"/>
        <v>16.725370804059327</v>
      </c>
      <c r="AV112" s="6"/>
      <c r="AW112" s="181">
        <f t="shared" si="211"/>
        <v>9.0147783251231531E-2</v>
      </c>
      <c r="AX112" s="181">
        <f t="shared" si="138"/>
        <v>9.1499999999999998E-2</v>
      </c>
      <c r="AY112" s="181">
        <f t="shared" si="139"/>
        <v>0.13192857142857142</v>
      </c>
      <c r="AZ112" s="181">
        <f t="shared" si="161"/>
        <v>0.6935571196534922</v>
      </c>
      <c r="BD112" s="181">
        <f t="shared" si="162"/>
        <v>5.0270695809217288E-2</v>
      </c>
      <c r="BE112" s="181">
        <f t="shared" si="142"/>
        <v>0.15970657618329456</v>
      </c>
      <c r="BG112" s="548">
        <f t="shared" si="212"/>
        <v>8.8449999999999976E-4</v>
      </c>
      <c r="BH112" s="548">
        <f t="shared" si="213"/>
        <v>3.5101293103448274E-3</v>
      </c>
      <c r="BI112" s="548">
        <f t="shared" si="214"/>
        <v>6.7999405469678948E-4</v>
      </c>
      <c r="BJ112" s="548">
        <f t="shared" si="215"/>
        <v>1.548541960835315E-3</v>
      </c>
      <c r="BK112">
        <f t="shared" si="216"/>
        <v>2.0300000000000001E-3</v>
      </c>
      <c r="BL112" s="474">
        <f t="shared" si="217"/>
        <v>8.6531653258769321</v>
      </c>
      <c r="BM112" s="548">
        <f t="shared" si="218"/>
        <v>2.0999999999999999E-3</v>
      </c>
      <c r="BP112" s="474">
        <f t="shared" si="219"/>
        <v>2.1</v>
      </c>
      <c r="BQ112" s="548">
        <f t="shared" si="220"/>
        <v>0</v>
      </c>
      <c r="BR112" s="548">
        <f t="shared" si="221"/>
        <v>0</v>
      </c>
      <c r="BS112" s="548">
        <f t="shared" si="222"/>
        <v>4.9425691668771833E-5</v>
      </c>
      <c r="BT112" s="548">
        <f t="shared" si="223"/>
        <v>4.8037500000000007E-3</v>
      </c>
      <c r="BU112" s="474">
        <f t="shared" si="224"/>
        <v>4.8531756916687732</v>
      </c>
      <c r="BV112" s="181">
        <f t="shared" si="225"/>
        <v>1.5606341017545704E-2</v>
      </c>
      <c r="BW112" s="6">
        <f t="shared" si="226"/>
        <v>0.09</v>
      </c>
      <c r="BX112" s="181">
        <f t="shared" si="227"/>
        <v>0.85222155348651996</v>
      </c>
      <c r="BY112" s="6">
        <f t="shared" si="228"/>
        <v>85.222155348651995</v>
      </c>
      <c r="CB112" s="583">
        <f t="shared" si="229"/>
        <v>-50</v>
      </c>
      <c r="CC112">
        <f t="shared" si="230"/>
        <v>-50</v>
      </c>
    </row>
    <row r="113" spans="5:81" x14ac:dyDescent="0.2">
      <c r="E113" s="178">
        <v>3</v>
      </c>
      <c r="F113" s="225">
        <f t="shared" si="231"/>
        <v>8.9999999999999993E-3</v>
      </c>
      <c r="G113" s="225"/>
      <c r="H113" s="225">
        <f t="shared" si="182"/>
        <v>0.13499999999999998</v>
      </c>
      <c r="I113" s="561">
        <f t="shared" si="183"/>
        <v>7</v>
      </c>
      <c r="J113" s="456">
        <f t="shared" si="184"/>
        <v>15.25</v>
      </c>
      <c r="K113" s="456">
        <f t="shared" si="185"/>
        <v>22.25</v>
      </c>
      <c r="L113" s="456"/>
      <c r="M113" s="225">
        <f t="shared" si="186"/>
        <v>0.6853932584269663</v>
      </c>
      <c r="N113" s="180">
        <f t="shared" si="232"/>
        <v>3.1305337078651685</v>
      </c>
      <c r="O113" s="180">
        <f t="shared" si="156"/>
        <v>0.13499999999999998</v>
      </c>
      <c r="P113" s="225">
        <f t="shared" si="187"/>
        <v>0.20870224719101124</v>
      </c>
      <c r="Q113" s="225">
        <f t="shared" si="188"/>
        <v>15</v>
      </c>
      <c r="R113" s="225"/>
      <c r="S113" s="180">
        <f t="shared" si="189"/>
        <v>500.50349473347353</v>
      </c>
      <c r="T113" s="180">
        <f t="shared" si="190"/>
        <v>15</v>
      </c>
      <c r="U113" s="225">
        <f t="shared" si="191"/>
        <v>6.2529274004683832E-2</v>
      </c>
      <c r="V113" s="225">
        <f t="shared" si="192"/>
        <v>0.35731013716962196</v>
      </c>
      <c r="W113" s="225">
        <f t="shared" si="193"/>
        <v>0.16401121050408876</v>
      </c>
      <c r="X113" s="205">
        <f t="shared" si="194"/>
        <v>350</v>
      </c>
      <c r="Y113" s="456">
        <f t="shared" si="195"/>
        <v>350</v>
      </c>
      <c r="AA113" s="225">
        <f t="shared" si="196"/>
        <v>0.34269662921348309</v>
      </c>
      <c r="AB113" s="181">
        <f t="shared" si="197"/>
        <v>0.89887640449438189</v>
      </c>
      <c r="AC113" s="181">
        <f t="shared" si="198"/>
        <v>5.3907334932458008E-2</v>
      </c>
      <c r="AD113" s="181"/>
      <c r="AE113" s="181">
        <f t="shared" si="199"/>
        <v>0.76065573770491812</v>
      </c>
      <c r="AF113" s="565">
        <f t="shared" si="200"/>
        <v>81.599286563614726</v>
      </c>
      <c r="AG113" s="548">
        <f t="shared" si="201"/>
        <v>3.8603278688524589E-2</v>
      </c>
      <c r="AI113" s="181">
        <f t="shared" si="202"/>
        <v>0.14002550788032464</v>
      </c>
      <c r="AJ113" s="181">
        <f t="shared" si="203"/>
        <v>0.28999999999999998</v>
      </c>
      <c r="AK113" s="181">
        <f t="shared" si="204"/>
        <v>1.0466281637506369</v>
      </c>
      <c r="AM113" s="565">
        <f t="shared" si="205"/>
        <v>9</v>
      </c>
      <c r="AN113" s="474">
        <f t="shared" si="206"/>
        <v>81.599286563614726</v>
      </c>
      <c r="AP113" s="474">
        <f t="shared" si="207"/>
        <v>9</v>
      </c>
      <c r="AQ113" s="474">
        <f t="shared" si="208"/>
        <v>81.599286563614726</v>
      </c>
      <c r="AS113" s="6">
        <f t="shared" si="158"/>
        <v>12.255009107468128</v>
      </c>
      <c r="AT113" s="6">
        <f t="shared" si="209"/>
        <v>1.6571428571428573</v>
      </c>
      <c r="AU113" s="6">
        <f t="shared" si="210"/>
        <v>10.597866250325271</v>
      </c>
      <c r="AV113" s="6"/>
      <c r="AW113" s="181">
        <f t="shared" si="211"/>
        <v>0.13522167487684725</v>
      </c>
      <c r="AX113" s="181">
        <f t="shared" si="138"/>
        <v>0.13724999999999998</v>
      </c>
      <c r="AY113" s="181">
        <f t="shared" si="139"/>
        <v>0.12539285714285714</v>
      </c>
      <c r="AZ113" s="181">
        <f t="shared" si="161"/>
        <v>1.0945599544289375</v>
      </c>
      <c r="BD113" s="181">
        <f t="shared" si="162"/>
        <v>6.1568776873625511E-2</v>
      </c>
      <c r="BE113" s="181">
        <f t="shared" si="142"/>
        <v>0.15570041441055654</v>
      </c>
      <c r="BG113" s="548">
        <f t="shared" si="212"/>
        <v>1.3267499999999992E-3</v>
      </c>
      <c r="BH113" s="548">
        <f t="shared" si="213"/>
        <v>5.2651939655172396E-3</v>
      </c>
      <c r="BI113" s="548">
        <f t="shared" si="214"/>
        <v>1.0199910820451838E-3</v>
      </c>
      <c r="BJ113" s="548">
        <f t="shared" si="215"/>
        <v>2.3228129412529719E-3</v>
      </c>
      <c r="BK113">
        <f t="shared" si="216"/>
        <v>2.0300000000000001E-3</v>
      </c>
      <c r="BL113" s="474">
        <f t="shared" si="217"/>
        <v>11.964747988815395</v>
      </c>
      <c r="BM113" s="548">
        <f t="shared" si="218"/>
        <v>3.1499999999999996E-3</v>
      </c>
      <c r="BP113" s="474">
        <f t="shared" si="219"/>
        <v>3.1499999999999995</v>
      </c>
      <c r="BQ113" s="548">
        <f t="shared" si="220"/>
        <v>0</v>
      </c>
      <c r="BR113" s="548">
        <f t="shared" si="221"/>
        <v>0</v>
      </c>
      <c r="BS113" s="548">
        <f t="shared" si="222"/>
        <v>1.3620119036919815E-4</v>
      </c>
      <c r="BT113" s="548">
        <f t="shared" si="223"/>
        <v>7.2056249999999994E-3</v>
      </c>
      <c r="BU113" s="474">
        <f t="shared" si="224"/>
        <v>7.3418261903691979</v>
      </c>
      <c r="BV113" s="181">
        <f t="shared" si="225"/>
        <v>2.2456574179184594E-2</v>
      </c>
      <c r="BW113" s="6">
        <f t="shared" si="226"/>
        <v>0.13499999999999998</v>
      </c>
      <c r="BX113" s="181">
        <f t="shared" si="227"/>
        <v>0.85737925331952702</v>
      </c>
      <c r="BY113" s="6">
        <f t="shared" si="228"/>
        <v>85.737925331952709</v>
      </c>
      <c r="CB113" s="583">
        <f t="shared" si="229"/>
        <v>-50</v>
      </c>
      <c r="CC113">
        <f t="shared" si="230"/>
        <v>-50</v>
      </c>
    </row>
    <row r="114" spans="5:81" x14ac:dyDescent="0.2">
      <c r="E114" s="178">
        <v>4</v>
      </c>
      <c r="F114" s="225">
        <f t="shared" si="231"/>
        <v>1.2E-2</v>
      </c>
      <c r="G114" s="225"/>
      <c r="H114" s="225">
        <f t="shared" si="182"/>
        <v>0.18</v>
      </c>
      <c r="I114" s="561">
        <f t="shared" si="183"/>
        <v>7</v>
      </c>
      <c r="J114" s="456">
        <f t="shared" si="184"/>
        <v>15.25</v>
      </c>
      <c r="K114" s="456">
        <f t="shared" si="185"/>
        <v>22.25</v>
      </c>
      <c r="L114" s="456"/>
      <c r="M114" s="225">
        <f t="shared" si="186"/>
        <v>0.6853932584269663</v>
      </c>
      <c r="N114" s="180">
        <f t="shared" si="232"/>
        <v>3.1305337078651685</v>
      </c>
      <c r="O114" s="180">
        <f t="shared" si="156"/>
        <v>0.18</v>
      </c>
      <c r="P114" s="225">
        <f t="shared" si="187"/>
        <v>0.20870224719101124</v>
      </c>
      <c r="Q114" s="225">
        <f t="shared" si="188"/>
        <v>15</v>
      </c>
      <c r="R114" s="225"/>
      <c r="S114" s="180">
        <f t="shared" si="189"/>
        <v>373.6296806501947</v>
      </c>
      <c r="T114" s="180">
        <f t="shared" si="190"/>
        <v>15</v>
      </c>
      <c r="U114" s="225">
        <f t="shared" si="191"/>
        <v>8.3372365339578453E-2</v>
      </c>
      <c r="V114" s="225">
        <f t="shared" si="192"/>
        <v>0.47641351622616263</v>
      </c>
      <c r="W114" s="225">
        <f t="shared" si="193"/>
        <v>0.21868161400545169</v>
      </c>
      <c r="X114" s="205">
        <f t="shared" si="194"/>
        <v>350</v>
      </c>
      <c r="Y114" s="456">
        <f t="shared" si="195"/>
        <v>350</v>
      </c>
      <c r="AA114" s="225">
        <f t="shared" si="196"/>
        <v>0.34269662921348309</v>
      </c>
      <c r="AB114" s="181">
        <f t="shared" si="197"/>
        <v>0.89887640449438189</v>
      </c>
      <c r="AC114" s="181">
        <f t="shared" si="198"/>
        <v>5.3907334932458008E-2</v>
      </c>
      <c r="AD114" s="181"/>
      <c r="AE114" s="181">
        <f t="shared" si="199"/>
        <v>0.76065573770491812</v>
      </c>
      <c r="AF114" s="565">
        <f t="shared" si="200"/>
        <v>108.79904875148632</v>
      </c>
      <c r="AG114" s="548">
        <f t="shared" si="201"/>
        <v>3.8603278688524589E-2</v>
      </c>
      <c r="AI114" s="181">
        <f t="shared" si="202"/>
        <v>0.16168752933623898</v>
      </c>
      <c r="AJ114" s="181">
        <f t="shared" si="203"/>
        <v>0.28999999999999998</v>
      </c>
      <c r="AK114" s="181">
        <f t="shared" si="204"/>
        <v>1.0621708850008493</v>
      </c>
      <c r="AM114" s="565">
        <f t="shared" si="205"/>
        <v>12</v>
      </c>
      <c r="AN114" s="474">
        <f t="shared" si="206"/>
        <v>108.79904875148632</v>
      </c>
      <c r="AP114" s="474">
        <f t="shared" si="207"/>
        <v>12</v>
      </c>
      <c r="AQ114" s="474">
        <f t="shared" si="208"/>
        <v>108.79904875148632</v>
      </c>
      <c r="AS114" s="6">
        <f t="shared" si="158"/>
        <v>9.1912568306010929</v>
      </c>
      <c r="AT114" s="6">
        <f t="shared" si="209"/>
        <v>1.6571428571428573</v>
      </c>
      <c r="AU114" s="6">
        <f t="shared" si="210"/>
        <v>7.5341139734582354</v>
      </c>
      <c r="AV114" s="6"/>
      <c r="AW114" s="181">
        <f t="shared" si="211"/>
        <v>0.18029556650246306</v>
      </c>
      <c r="AX114" s="181">
        <f t="shared" si="138"/>
        <v>0.183</v>
      </c>
      <c r="AY114" s="181">
        <f t="shared" si="139"/>
        <v>0.11885714285714286</v>
      </c>
      <c r="AZ114" s="181">
        <f t="shared" si="161"/>
        <v>1.5396634615384615</v>
      </c>
      <c r="BD114" s="181">
        <f t="shared" si="162"/>
        <v>7.1093499803327409E-2</v>
      </c>
      <c r="BE114" s="181">
        <f t="shared" si="142"/>
        <v>0.15158841518746616</v>
      </c>
      <c r="BG114" s="548">
        <f t="shared" si="212"/>
        <v>1.769E-3</v>
      </c>
      <c r="BH114" s="548">
        <f t="shared" si="213"/>
        <v>7.0202586206896548E-3</v>
      </c>
      <c r="BI114" s="548">
        <f t="shared" si="214"/>
        <v>1.359988109393579E-3</v>
      </c>
      <c r="BJ114" s="548">
        <f t="shared" si="215"/>
        <v>3.09708392167063E-3</v>
      </c>
      <c r="BK114">
        <f t="shared" si="216"/>
        <v>2.0300000000000001E-3</v>
      </c>
      <c r="BL114" s="474">
        <f t="shared" si="217"/>
        <v>15.276330651753863</v>
      </c>
      <c r="BM114" s="548">
        <f t="shared" si="218"/>
        <v>4.1999999999999997E-3</v>
      </c>
      <c r="BP114" s="474">
        <f t="shared" si="219"/>
        <v>4.2</v>
      </c>
      <c r="BQ114" s="548">
        <f t="shared" si="220"/>
        <v>0</v>
      </c>
      <c r="BR114" s="548">
        <f t="shared" si="221"/>
        <v>0</v>
      </c>
      <c r="BS114" s="548">
        <f t="shared" si="222"/>
        <v>2.7959393395059234E-4</v>
      </c>
      <c r="BT114" s="548">
        <f t="shared" si="223"/>
        <v>9.6075000000000015E-3</v>
      </c>
      <c r="BU114" s="474">
        <f t="shared" si="224"/>
        <v>9.8870939339505934</v>
      </c>
      <c r="BV114" s="181">
        <f t="shared" si="225"/>
        <v>2.9363424585704456E-2</v>
      </c>
      <c r="BW114" s="6">
        <f t="shared" si="226"/>
        <v>0.18</v>
      </c>
      <c r="BX114" s="181">
        <f t="shared" si="227"/>
        <v>0.85974902424427857</v>
      </c>
      <c r="BY114" s="6">
        <f t="shared" si="228"/>
        <v>85.974902424427853</v>
      </c>
      <c r="CB114" s="583">
        <f t="shared" si="229"/>
        <v>-50</v>
      </c>
      <c r="CC114">
        <f t="shared" si="230"/>
        <v>-50</v>
      </c>
    </row>
    <row r="115" spans="5:81" x14ac:dyDescent="0.2">
      <c r="E115" s="178">
        <v>5</v>
      </c>
      <c r="F115" s="225">
        <f t="shared" si="231"/>
        <v>1.4999999999999999E-2</v>
      </c>
      <c r="G115" s="225"/>
      <c r="H115" s="225">
        <f t="shared" si="182"/>
        <v>0.22499999999999998</v>
      </c>
      <c r="I115" s="561">
        <f t="shared" si="183"/>
        <v>7</v>
      </c>
      <c r="J115" s="456">
        <f t="shared" si="184"/>
        <v>15.25</v>
      </c>
      <c r="K115" s="456">
        <f t="shared" si="185"/>
        <v>22.25</v>
      </c>
      <c r="L115" s="456"/>
      <c r="M115" s="225">
        <f t="shared" si="186"/>
        <v>0.6853932584269663</v>
      </c>
      <c r="N115" s="180">
        <f t="shared" si="232"/>
        <v>3.1305337078651685</v>
      </c>
      <c r="O115" s="180">
        <f t="shared" si="156"/>
        <v>0.22499999999999998</v>
      </c>
      <c r="P115" s="225">
        <f t="shared" si="187"/>
        <v>0.20870224719101124</v>
      </c>
      <c r="Q115" s="225">
        <f t="shared" si="188"/>
        <v>15</v>
      </c>
      <c r="R115" s="225"/>
      <c r="S115" s="180">
        <f t="shared" si="189"/>
        <v>297.50587729792574</v>
      </c>
      <c r="T115" s="180">
        <f t="shared" si="190"/>
        <v>15</v>
      </c>
      <c r="U115" s="225">
        <f t="shared" si="191"/>
        <v>0.10421545667447306</v>
      </c>
      <c r="V115" s="225">
        <f t="shared" si="192"/>
        <v>0.59551689528270335</v>
      </c>
      <c r="W115" s="225">
        <f t="shared" si="193"/>
        <v>0.27335201750681459</v>
      </c>
      <c r="X115" s="205">
        <f t="shared" si="194"/>
        <v>350</v>
      </c>
      <c r="Y115" s="456">
        <f t="shared" si="195"/>
        <v>350</v>
      </c>
      <c r="AA115" s="225">
        <f t="shared" si="196"/>
        <v>0.34269662921348309</v>
      </c>
      <c r="AB115" s="181">
        <f t="shared" si="197"/>
        <v>0.89887640449438189</v>
      </c>
      <c r="AC115" s="181">
        <f t="shared" si="198"/>
        <v>5.3907334932458008E-2</v>
      </c>
      <c r="AD115" s="181"/>
      <c r="AE115" s="181">
        <f t="shared" si="199"/>
        <v>0.76065573770491812</v>
      </c>
      <c r="AF115" s="565">
        <f t="shared" si="200"/>
        <v>135.9988109393579</v>
      </c>
      <c r="AG115" s="548">
        <f t="shared" si="201"/>
        <v>3.8603278688524589E-2</v>
      </c>
      <c r="AI115" s="181">
        <f t="shared" si="202"/>
        <v>0.1807721533549109</v>
      </c>
      <c r="AJ115" s="181">
        <f t="shared" si="203"/>
        <v>0.28999999999999998</v>
      </c>
      <c r="AK115" s="181">
        <f t="shared" si="204"/>
        <v>1.0777136062510617</v>
      </c>
      <c r="AM115" s="565">
        <f t="shared" si="205"/>
        <v>15</v>
      </c>
      <c r="AN115" s="474">
        <f t="shared" si="206"/>
        <v>135.9988109393579</v>
      </c>
      <c r="AP115" s="474">
        <f t="shared" si="207"/>
        <v>15</v>
      </c>
      <c r="AQ115" s="474">
        <f t="shared" si="208"/>
        <v>135.9988109393579</v>
      </c>
      <c r="AS115" s="6">
        <f t="shared" si="158"/>
        <v>7.3530054644808747</v>
      </c>
      <c r="AT115" s="6">
        <f t="shared" si="209"/>
        <v>1.6571428571428573</v>
      </c>
      <c r="AU115" s="6">
        <f t="shared" si="210"/>
        <v>5.6958626073380172</v>
      </c>
      <c r="AV115" s="6"/>
      <c r="AW115" s="181">
        <f t="shared" si="211"/>
        <v>0.22536945812807882</v>
      </c>
      <c r="AX115" s="181">
        <f t="shared" si="138"/>
        <v>0.22874999999999998</v>
      </c>
      <c r="AY115" s="181">
        <f t="shared" si="139"/>
        <v>0.11232142857142856</v>
      </c>
      <c r="AZ115" s="181">
        <f t="shared" si="161"/>
        <v>2.0365659777424483</v>
      </c>
      <c r="BD115" s="181">
        <f t="shared" si="162"/>
        <v>7.9484949159304014E-2</v>
      </c>
      <c r="BE115" s="181">
        <f t="shared" si="142"/>
        <v>0.14736171887731286</v>
      </c>
      <c r="BG115" s="548">
        <f t="shared" si="212"/>
        <v>2.2112500000000001E-3</v>
      </c>
      <c r="BH115" s="548">
        <f t="shared" si="213"/>
        <v>8.7753232758620674E-3</v>
      </c>
      <c r="BI115" s="548">
        <f t="shared" si="214"/>
        <v>1.6999851367419736E-3</v>
      </c>
      <c r="BJ115" s="548">
        <f t="shared" si="215"/>
        <v>3.8713549020882869E-3</v>
      </c>
      <c r="BK115">
        <f t="shared" si="216"/>
        <v>2.0300000000000001E-3</v>
      </c>
      <c r="BL115" s="474">
        <f t="shared" si="217"/>
        <v>18.587913314692329</v>
      </c>
      <c r="BM115" s="548">
        <f t="shared" si="218"/>
        <v>5.2499999999999995E-3</v>
      </c>
      <c r="BP115" s="474">
        <f t="shared" si="219"/>
        <v>5.2499999999999991</v>
      </c>
      <c r="BQ115" s="548">
        <f t="shared" si="220"/>
        <v>0</v>
      </c>
      <c r="BR115" s="548">
        <f t="shared" si="221"/>
        <v>0</v>
      </c>
      <c r="BS115" s="548">
        <f t="shared" si="222"/>
        <v>4.8843050188289883E-4</v>
      </c>
      <c r="BT115" s="548">
        <f t="shared" si="223"/>
        <v>1.2009375000000001E-2</v>
      </c>
      <c r="BU115" s="474">
        <f t="shared" si="224"/>
        <v>12.497805501882901</v>
      </c>
      <c r="BV115" s="181">
        <f t="shared" si="225"/>
        <v>3.6335718816575227E-2</v>
      </c>
      <c r="BW115" s="6">
        <f t="shared" si="226"/>
        <v>0.22499999999999998</v>
      </c>
      <c r="BX115" s="181">
        <f t="shared" si="227"/>
        <v>0.86096152879094834</v>
      </c>
      <c r="BY115" s="6">
        <f t="shared" si="228"/>
        <v>86.096152879094831</v>
      </c>
      <c r="CB115" s="583">
        <f t="shared" si="229"/>
        <v>-50</v>
      </c>
      <c r="CC115">
        <f t="shared" si="230"/>
        <v>-50</v>
      </c>
    </row>
    <row r="116" spans="5:81" x14ac:dyDescent="0.2">
      <c r="E116" s="178">
        <v>6</v>
      </c>
      <c r="F116" s="225">
        <f t="shared" si="231"/>
        <v>1.7999999999999999E-2</v>
      </c>
      <c r="G116" s="225"/>
      <c r="H116" s="225">
        <f t="shared" si="182"/>
        <v>0.26999999999999996</v>
      </c>
      <c r="I116" s="561">
        <f t="shared" si="183"/>
        <v>7</v>
      </c>
      <c r="J116" s="456">
        <f t="shared" si="184"/>
        <v>15.25</v>
      </c>
      <c r="K116" s="456">
        <f t="shared" si="185"/>
        <v>22.25</v>
      </c>
      <c r="L116" s="456"/>
      <c r="M116" s="225">
        <f t="shared" si="186"/>
        <v>0.6853932584269663</v>
      </c>
      <c r="N116" s="180">
        <f t="shared" si="232"/>
        <v>3.1305337078651685</v>
      </c>
      <c r="O116" s="180">
        <f t="shared" si="156"/>
        <v>0.26999999999999996</v>
      </c>
      <c r="P116" s="225">
        <f t="shared" si="187"/>
        <v>0.20870224719101124</v>
      </c>
      <c r="Q116" s="225">
        <f t="shared" si="188"/>
        <v>15</v>
      </c>
      <c r="R116" s="225"/>
      <c r="S116" s="180">
        <f t="shared" si="189"/>
        <v>246.75708481702583</v>
      </c>
      <c r="T116" s="180">
        <f t="shared" si="190"/>
        <v>15</v>
      </c>
      <c r="U116" s="225">
        <f t="shared" si="191"/>
        <v>0.12505854800936766</v>
      </c>
      <c r="V116" s="225">
        <f t="shared" si="192"/>
        <v>0.71462027433924391</v>
      </c>
      <c r="W116" s="225">
        <f t="shared" si="193"/>
        <v>0.32802242100817752</v>
      </c>
      <c r="X116" s="205">
        <f t="shared" si="194"/>
        <v>350</v>
      </c>
      <c r="Y116" s="456">
        <f t="shared" si="195"/>
        <v>350</v>
      </c>
      <c r="AA116" s="225">
        <f t="shared" si="196"/>
        <v>0.34269662921348309</v>
      </c>
      <c r="AB116" s="181">
        <f t="shared" si="197"/>
        <v>0.89887640449438189</v>
      </c>
      <c r="AC116" s="181">
        <f t="shared" si="198"/>
        <v>5.3907334932458008E-2</v>
      </c>
      <c r="AD116" s="181"/>
      <c r="AE116" s="181">
        <f t="shared" si="199"/>
        <v>0.76065573770491812</v>
      </c>
      <c r="AF116" s="565">
        <f t="shared" si="200"/>
        <v>163.19857312722945</v>
      </c>
      <c r="AG116" s="548">
        <f t="shared" si="201"/>
        <v>3.8603278688524589E-2</v>
      </c>
      <c r="AI116" s="181">
        <f t="shared" si="202"/>
        <v>0.19802597232253577</v>
      </c>
      <c r="AJ116" s="181">
        <f t="shared" si="203"/>
        <v>0.28999999999999998</v>
      </c>
      <c r="AK116" s="181">
        <f t="shared" si="204"/>
        <v>1.0932563275012739</v>
      </c>
      <c r="AM116" s="565">
        <f t="shared" si="205"/>
        <v>18</v>
      </c>
      <c r="AN116" s="474">
        <f t="shared" si="206"/>
        <v>163.19857312722945</v>
      </c>
      <c r="AP116" s="474">
        <f t="shared" si="207"/>
        <v>18</v>
      </c>
      <c r="AQ116" s="474">
        <f t="shared" si="208"/>
        <v>163.19857312722945</v>
      </c>
      <c r="AS116" s="6">
        <f t="shared" si="158"/>
        <v>6.127504553734064</v>
      </c>
      <c r="AT116" s="6">
        <f t="shared" si="209"/>
        <v>1.6571428571428573</v>
      </c>
      <c r="AU116" s="6">
        <f t="shared" si="210"/>
        <v>4.4703616965912065</v>
      </c>
      <c r="AV116" s="6"/>
      <c r="AW116" s="181">
        <f t="shared" si="211"/>
        <v>0.2704433497536945</v>
      </c>
      <c r="AX116" s="181">
        <f t="shared" si="138"/>
        <v>0.27449999999999997</v>
      </c>
      <c r="AY116" s="181">
        <f t="shared" si="139"/>
        <v>0.1057857142857143</v>
      </c>
      <c r="AZ116" s="181">
        <f t="shared" si="161"/>
        <v>2.5948683322079669</v>
      </c>
      <c r="BD116" s="181">
        <f t="shared" si="162"/>
        <v>8.7071399273404168E-2</v>
      </c>
      <c r="BE116" s="181">
        <f t="shared" si="142"/>
        <v>0.14301015614950136</v>
      </c>
      <c r="BG116" s="548">
        <f t="shared" si="212"/>
        <v>2.6534999999999987E-3</v>
      </c>
      <c r="BH116" s="548">
        <f t="shared" si="213"/>
        <v>1.0530387931034479E-2</v>
      </c>
      <c r="BI116" s="548">
        <f t="shared" si="214"/>
        <v>2.0399821640903677E-3</v>
      </c>
      <c r="BJ116" s="548">
        <f t="shared" si="215"/>
        <v>4.6456258825059438E-3</v>
      </c>
      <c r="BK116">
        <f t="shared" si="216"/>
        <v>2.0300000000000001E-3</v>
      </c>
      <c r="BL116" s="474">
        <f t="shared" si="217"/>
        <v>21.899495977630789</v>
      </c>
      <c r="BM116" s="548">
        <f t="shared" si="218"/>
        <v>6.2999999999999992E-3</v>
      </c>
      <c r="BP116" s="474">
        <f t="shared" si="219"/>
        <v>6.2999999999999989</v>
      </c>
      <c r="BQ116" s="548">
        <f t="shared" si="220"/>
        <v>0</v>
      </c>
      <c r="BR116" s="548">
        <f t="shared" si="221"/>
        <v>0</v>
      </c>
      <c r="BS116" s="548">
        <f t="shared" si="222"/>
        <v>7.7047028252592018E-4</v>
      </c>
      <c r="BT116" s="548">
        <f t="shared" si="223"/>
        <v>1.4411249999999999E-2</v>
      </c>
      <c r="BU116" s="474">
        <f t="shared" si="224"/>
        <v>15.181720282525919</v>
      </c>
      <c r="BV116" s="181">
        <f t="shared" si="225"/>
        <v>4.3381216260156709E-2</v>
      </c>
      <c r="BW116" s="6">
        <f t="shared" si="226"/>
        <v>0.26999999999999996</v>
      </c>
      <c r="BX116" s="181">
        <f t="shared" si="227"/>
        <v>0.86157046431224726</v>
      </c>
      <c r="BY116" s="6">
        <f t="shared" si="228"/>
        <v>86.157046431224728</v>
      </c>
      <c r="CB116" s="583">
        <f t="shared" si="229"/>
        <v>-50</v>
      </c>
      <c r="CC116">
        <f t="shared" si="230"/>
        <v>-50</v>
      </c>
    </row>
    <row r="117" spans="5:81" x14ac:dyDescent="0.2">
      <c r="E117" s="178">
        <v>7</v>
      </c>
      <c r="F117" s="225">
        <f t="shared" si="231"/>
        <v>2.1000000000000001E-2</v>
      </c>
      <c r="G117" s="225"/>
      <c r="H117" s="225">
        <f t="shared" si="182"/>
        <v>0.315</v>
      </c>
      <c r="I117" s="561">
        <f t="shared" si="183"/>
        <v>7</v>
      </c>
      <c r="J117" s="456">
        <f t="shared" si="184"/>
        <v>15.25</v>
      </c>
      <c r="K117" s="456">
        <f t="shared" si="185"/>
        <v>22.25</v>
      </c>
      <c r="L117" s="456"/>
      <c r="M117" s="225">
        <f t="shared" si="186"/>
        <v>0.6853932584269663</v>
      </c>
      <c r="N117" s="180">
        <f t="shared" si="232"/>
        <v>3.1305337078651685</v>
      </c>
      <c r="O117" s="180">
        <f t="shared" si="156"/>
        <v>0.315</v>
      </c>
      <c r="P117" s="225">
        <f t="shared" si="187"/>
        <v>0.20870224719101124</v>
      </c>
      <c r="Q117" s="225">
        <f t="shared" si="188"/>
        <v>15</v>
      </c>
      <c r="R117" s="225"/>
      <c r="S117" s="180">
        <f t="shared" si="189"/>
        <v>210.50830335019873</v>
      </c>
      <c r="T117" s="180">
        <f t="shared" si="190"/>
        <v>15</v>
      </c>
      <c r="U117" s="225">
        <f t="shared" si="191"/>
        <v>0.14590163934426231</v>
      </c>
      <c r="V117" s="225">
        <f t="shared" si="192"/>
        <v>0.83372365339578469</v>
      </c>
      <c r="W117" s="225">
        <f t="shared" si="193"/>
        <v>0.38269282450954051</v>
      </c>
      <c r="X117" s="205">
        <f t="shared" si="194"/>
        <v>350</v>
      </c>
      <c r="Y117" s="456">
        <f t="shared" si="195"/>
        <v>350</v>
      </c>
      <c r="AA117" s="225">
        <f t="shared" si="196"/>
        <v>0.34269662921348309</v>
      </c>
      <c r="AB117" s="181">
        <f t="shared" si="197"/>
        <v>0.89887640449438189</v>
      </c>
      <c r="AC117" s="181">
        <f t="shared" si="198"/>
        <v>5.3907334932458008E-2</v>
      </c>
      <c r="AD117" s="181"/>
      <c r="AE117" s="181">
        <f t="shared" si="199"/>
        <v>0.76065573770491812</v>
      </c>
      <c r="AF117" s="565">
        <f t="shared" si="200"/>
        <v>190.39833531510109</v>
      </c>
      <c r="AG117" s="548">
        <f t="shared" si="201"/>
        <v>3.8603278688524589E-2</v>
      </c>
      <c r="AI117" s="181">
        <f t="shared" si="202"/>
        <v>0.21389249636207439</v>
      </c>
      <c r="AJ117" s="181">
        <f t="shared" si="203"/>
        <v>0.28999999999999998</v>
      </c>
      <c r="AK117" s="181">
        <f t="shared" si="204"/>
        <v>1.1087990487514863</v>
      </c>
      <c r="AM117" s="565">
        <f t="shared" si="205"/>
        <v>21</v>
      </c>
      <c r="AN117" s="474">
        <f t="shared" si="206"/>
        <v>190.39833531510109</v>
      </c>
      <c r="AP117" s="474">
        <f t="shared" si="207"/>
        <v>21</v>
      </c>
      <c r="AQ117" s="474">
        <f t="shared" si="208"/>
        <v>190.39833531510109</v>
      </c>
      <c r="AS117" s="6">
        <f t="shared" si="158"/>
        <v>5.2521467603434813</v>
      </c>
      <c r="AT117" s="6">
        <f t="shared" si="209"/>
        <v>1.6571428571428573</v>
      </c>
      <c r="AU117" s="6">
        <f t="shared" si="210"/>
        <v>3.5950039032006238</v>
      </c>
      <c r="AV117" s="6"/>
      <c r="AW117" s="181">
        <f t="shared" si="211"/>
        <v>0.31551724137931036</v>
      </c>
      <c r="AX117" s="181">
        <f t="shared" si="138"/>
        <v>0.32024999999999998</v>
      </c>
      <c r="AY117" s="181">
        <f t="shared" si="139"/>
        <v>9.9249999999999991E-2</v>
      </c>
      <c r="AZ117" s="181">
        <f t="shared" si="161"/>
        <v>3.2267002518891688</v>
      </c>
      <c r="BD117" s="181">
        <f t="shared" si="162"/>
        <v>9.4047860156411839E-2</v>
      </c>
      <c r="BE117" s="181">
        <f t="shared" si="142"/>
        <v>0.13852195975127313</v>
      </c>
      <c r="BG117" s="548">
        <f t="shared" si="212"/>
        <v>3.0957499999999987E-3</v>
      </c>
      <c r="BH117" s="548">
        <f t="shared" si="213"/>
        <v>1.22854525862069E-2</v>
      </c>
      <c r="BI117" s="548">
        <f t="shared" si="214"/>
        <v>2.3799791914387637E-3</v>
      </c>
      <c r="BJ117" s="548">
        <f t="shared" si="215"/>
        <v>5.4198968629236037E-3</v>
      </c>
      <c r="BK117">
        <f t="shared" si="216"/>
        <v>2.0300000000000001E-3</v>
      </c>
      <c r="BL117" s="474">
        <f t="shared" si="217"/>
        <v>25.211078640569269</v>
      </c>
      <c r="BM117" s="548">
        <f t="shared" si="218"/>
        <v>7.3499999999999998E-3</v>
      </c>
      <c r="BP117" s="474">
        <f t="shared" si="219"/>
        <v>7.35</v>
      </c>
      <c r="BQ117" s="548">
        <f t="shared" si="220"/>
        <v>0</v>
      </c>
      <c r="BR117" s="548">
        <f t="shared" si="221"/>
        <v>0</v>
      </c>
      <c r="BS117" s="548">
        <f t="shared" si="222"/>
        <v>1.1327207765143372E-3</v>
      </c>
      <c r="BT117" s="548">
        <f t="shared" si="223"/>
        <v>1.6813125000000005E-2</v>
      </c>
      <c r="BU117" s="474">
        <f t="shared" si="224"/>
        <v>17.945845776514339</v>
      </c>
      <c r="BV117" s="181">
        <f t="shared" si="225"/>
        <v>5.0506924417083612E-2</v>
      </c>
      <c r="BW117" s="6">
        <f t="shared" si="226"/>
        <v>0.315</v>
      </c>
      <c r="BX117" s="181">
        <f t="shared" si="227"/>
        <v>0.86181677817011848</v>
      </c>
      <c r="BY117" s="6">
        <f t="shared" si="228"/>
        <v>86.181677817011845</v>
      </c>
      <c r="CB117" s="583">
        <f t="shared" si="229"/>
        <v>-50</v>
      </c>
      <c r="CC117">
        <f t="shared" si="230"/>
        <v>-50</v>
      </c>
    </row>
    <row r="118" spans="5:81" x14ac:dyDescent="0.2">
      <c r="E118" s="178">
        <v>8</v>
      </c>
      <c r="F118" s="225">
        <f t="shared" si="231"/>
        <v>2.4E-2</v>
      </c>
      <c r="G118" s="225"/>
      <c r="H118" s="225">
        <f t="shared" si="182"/>
        <v>0.36</v>
      </c>
      <c r="I118" s="561">
        <f t="shared" si="183"/>
        <v>7</v>
      </c>
      <c r="J118" s="456">
        <f t="shared" si="184"/>
        <v>15.25</v>
      </c>
      <c r="K118" s="456">
        <f t="shared" si="185"/>
        <v>22.25</v>
      </c>
      <c r="L118" s="456"/>
      <c r="M118" s="225">
        <f t="shared" si="186"/>
        <v>0.6853932584269663</v>
      </c>
      <c r="N118" s="180">
        <f t="shared" si="232"/>
        <v>3.1305337078651685</v>
      </c>
      <c r="O118" s="180">
        <f t="shared" si="156"/>
        <v>0.36</v>
      </c>
      <c r="P118" s="225">
        <f t="shared" si="187"/>
        <v>0.20870224719101124</v>
      </c>
      <c r="Q118" s="225">
        <f t="shared" si="188"/>
        <v>15</v>
      </c>
      <c r="R118" s="225"/>
      <c r="S118" s="180">
        <f t="shared" si="189"/>
        <v>183.3220330425392</v>
      </c>
      <c r="T118" s="180">
        <f t="shared" si="190"/>
        <v>15</v>
      </c>
      <c r="U118" s="225">
        <f t="shared" si="191"/>
        <v>0.16674473067915691</v>
      </c>
      <c r="V118" s="225">
        <f t="shared" si="192"/>
        <v>0.95282703245232525</v>
      </c>
      <c r="W118" s="225">
        <f t="shared" si="193"/>
        <v>0.43736322801090338</v>
      </c>
      <c r="X118" s="205">
        <f t="shared" si="194"/>
        <v>350</v>
      </c>
      <c r="Y118" s="456">
        <f t="shared" si="195"/>
        <v>350</v>
      </c>
      <c r="AA118" s="225">
        <f t="shared" si="196"/>
        <v>0.34269662921348309</v>
      </c>
      <c r="AB118" s="181">
        <f t="shared" si="197"/>
        <v>0.89887640449438189</v>
      </c>
      <c r="AC118" s="181">
        <f t="shared" si="198"/>
        <v>5.3907334932458008E-2</v>
      </c>
      <c r="AD118" s="181"/>
      <c r="AE118" s="181">
        <f t="shared" si="199"/>
        <v>0.76065573770491812</v>
      </c>
      <c r="AF118" s="565">
        <f t="shared" si="200"/>
        <v>217.59809750297265</v>
      </c>
      <c r="AG118" s="548">
        <f t="shared" si="201"/>
        <v>3.8603278688524589E-2</v>
      </c>
      <c r="AI118" s="181">
        <f t="shared" si="202"/>
        <v>0.22866069685390683</v>
      </c>
      <c r="AJ118" s="181">
        <f t="shared" si="203"/>
        <v>0.28999999999999998</v>
      </c>
      <c r="AK118" s="181">
        <f t="shared" si="204"/>
        <v>1.1243417700016987</v>
      </c>
      <c r="AM118" s="565">
        <f t="shared" si="205"/>
        <v>24</v>
      </c>
      <c r="AN118" s="474">
        <f t="shared" si="206"/>
        <v>217.59809750297265</v>
      </c>
      <c r="AP118" s="474">
        <f t="shared" si="207"/>
        <v>24</v>
      </c>
      <c r="AQ118" s="474">
        <f t="shared" si="208"/>
        <v>217.59809750297265</v>
      </c>
      <c r="AS118" s="6">
        <f t="shared" si="158"/>
        <v>4.5956284153005464</v>
      </c>
      <c r="AT118" s="6">
        <f t="shared" si="209"/>
        <v>1.6571428571428573</v>
      </c>
      <c r="AU118" s="6">
        <f t="shared" si="210"/>
        <v>2.938485558157689</v>
      </c>
      <c r="AV118" s="6"/>
      <c r="AW118" s="181">
        <f t="shared" si="211"/>
        <v>0.36059113300492612</v>
      </c>
      <c r="AX118" s="181">
        <f t="shared" si="138"/>
        <v>0.36599999999999999</v>
      </c>
      <c r="AY118" s="181">
        <f t="shared" si="139"/>
        <v>9.2714285714285707E-2</v>
      </c>
      <c r="AZ118" s="181">
        <f t="shared" si="161"/>
        <v>3.9476117103235748</v>
      </c>
      <c r="BD118" s="181">
        <f t="shared" si="162"/>
        <v>0.10054139161843458</v>
      </c>
      <c r="BE118" s="181">
        <f t="shared" si="142"/>
        <v>0.13388338920404541</v>
      </c>
      <c r="BG118" s="548">
        <f t="shared" si="212"/>
        <v>3.537999999999999E-3</v>
      </c>
      <c r="BH118" s="548">
        <f t="shared" si="213"/>
        <v>1.404051724137931E-2</v>
      </c>
      <c r="BI118" s="548">
        <f t="shared" si="214"/>
        <v>2.7199762187871579E-3</v>
      </c>
      <c r="BJ118" s="548">
        <f t="shared" si="215"/>
        <v>6.1941678433412601E-3</v>
      </c>
      <c r="BK118">
        <f t="shared" si="216"/>
        <v>2.0300000000000001E-3</v>
      </c>
      <c r="BL118" s="474">
        <f t="shared" si="217"/>
        <v>28.522661303507729</v>
      </c>
      <c r="BM118" s="548">
        <f t="shared" si="218"/>
        <v>8.3999999999999995E-3</v>
      </c>
      <c r="BP118" s="474">
        <f t="shared" si="219"/>
        <v>8.4</v>
      </c>
      <c r="BQ118" s="548">
        <f t="shared" si="220"/>
        <v>0</v>
      </c>
      <c r="BR118" s="548">
        <f t="shared" si="221"/>
        <v>0</v>
      </c>
      <c r="BS118" s="548">
        <f t="shared" si="222"/>
        <v>1.5816221334006993E-3</v>
      </c>
      <c r="BT118" s="548">
        <f t="shared" si="223"/>
        <v>1.9215000000000003E-2</v>
      </c>
      <c r="BU118" s="474">
        <f t="shared" si="224"/>
        <v>20.7966221334007</v>
      </c>
      <c r="BV118" s="181">
        <f t="shared" si="225"/>
        <v>5.7719283436908429E-2</v>
      </c>
      <c r="BW118" s="6">
        <f t="shared" si="226"/>
        <v>0.36</v>
      </c>
      <c r="BX118" s="181">
        <f t="shared" si="227"/>
        <v>0.86182279409749529</v>
      </c>
      <c r="BY118" s="6">
        <f t="shared" si="228"/>
        <v>86.182279409749526</v>
      </c>
      <c r="CB118" s="583">
        <f t="shared" si="229"/>
        <v>-50</v>
      </c>
      <c r="CC118">
        <f t="shared" si="230"/>
        <v>-50</v>
      </c>
    </row>
    <row r="119" spans="5:81" x14ac:dyDescent="0.2">
      <c r="E119" s="178">
        <v>9</v>
      </c>
      <c r="F119" s="225">
        <f t="shared" si="231"/>
        <v>2.7E-2</v>
      </c>
      <c r="G119" s="225"/>
      <c r="H119" s="225">
        <f t="shared" si="182"/>
        <v>0.40499999999999997</v>
      </c>
      <c r="I119" s="561">
        <f t="shared" si="183"/>
        <v>7</v>
      </c>
      <c r="J119" s="456">
        <f t="shared" si="184"/>
        <v>15.25</v>
      </c>
      <c r="K119" s="456">
        <f t="shared" si="185"/>
        <v>22.25</v>
      </c>
      <c r="L119" s="456"/>
      <c r="M119" s="225">
        <f t="shared" si="186"/>
        <v>0.6853932584269663</v>
      </c>
      <c r="N119" s="180">
        <f t="shared" si="232"/>
        <v>3.1305337078651685</v>
      </c>
      <c r="O119" s="180">
        <f t="shared" si="156"/>
        <v>0.40499999999999997</v>
      </c>
      <c r="P119" s="225">
        <f t="shared" si="187"/>
        <v>0.20870224719101124</v>
      </c>
      <c r="Q119" s="225">
        <f t="shared" si="188"/>
        <v>15</v>
      </c>
      <c r="R119" s="225"/>
      <c r="S119" s="180">
        <f t="shared" si="189"/>
        <v>162.17744070824716</v>
      </c>
      <c r="T119" s="180">
        <f t="shared" si="190"/>
        <v>15</v>
      </c>
      <c r="U119" s="225">
        <f t="shared" si="191"/>
        <v>0.18758782201405153</v>
      </c>
      <c r="V119" s="225">
        <f t="shared" si="192"/>
        <v>1.0719304115088659</v>
      </c>
      <c r="W119" s="225">
        <f t="shared" si="193"/>
        <v>0.49203363151226642</v>
      </c>
      <c r="X119" s="205">
        <f t="shared" si="194"/>
        <v>350</v>
      </c>
      <c r="Y119" s="456">
        <f t="shared" si="195"/>
        <v>350</v>
      </c>
      <c r="AA119" s="225">
        <f t="shared" si="196"/>
        <v>0.34269662921348309</v>
      </c>
      <c r="AB119" s="181">
        <f t="shared" si="197"/>
        <v>0.89887640449438189</v>
      </c>
      <c r="AC119" s="181">
        <f t="shared" si="198"/>
        <v>5.3907334932458008E-2</v>
      </c>
      <c r="AD119" s="181"/>
      <c r="AE119" s="181">
        <f t="shared" si="199"/>
        <v>0.76065573770491812</v>
      </c>
      <c r="AF119" s="565">
        <f t="shared" si="200"/>
        <v>244.79785969084423</v>
      </c>
      <c r="AG119" s="548">
        <f t="shared" si="201"/>
        <v>3.8603278688524589E-2</v>
      </c>
      <c r="AI119" s="181">
        <f t="shared" si="202"/>
        <v>0.24253129400435847</v>
      </c>
      <c r="AJ119" s="181">
        <f t="shared" si="203"/>
        <v>0.28999999999999998</v>
      </c>
      <c r="AK119" s="181">
        <f t="shared" si="204"/>
        <v>1.139884491251911</v>
      </c>
      <c r="AM119" s="565">
        <f t="shared" si="205"/>
        <v>27</v>
      </c>
      <c r="AN119" s="474">
        <f t="shared" si="206"/>
        <v>244.79785969084423</v>
      </c>
      <c r="AP119" s="474">
        <f t="shared" si="207"/>
        <v>27</v>
      </c>
      <c r="AQ119" s="474">
        <f t="shared" si="208"/>
        <v>244.79785969084423</v>
      </c>
      <c r="AS119" s="6">
        <f t="shared" si="158"/>
        <v>4.0850030358227079</v>
      </c>
      <c r="AT119" s="6">
        <f t="shared" si="209"/>
        <v>1.6571428571428573</v>
      </c>
      <c r="AU119" s="6">
        <f t="shared" si="210"/>
        <v>2.4278601786798504</v>
      </c>
      <c r="AV119" s="6"/>
      <c r="AW119" s="181">
        <f t="shared" si="211"/>
        <v>0.40566502463054188</v>
      </c>
      <c r="AX119" s="181">
        <f t="shared" si="138"/>
        <v>0.41175</v>
      </c>
      <c r="AY119" s="181">
        <f t="shared" si="139"/>
        <v>8.6178571428571424E-2</v>
      </c>
      <c r="AZ119" s="181">
        <f t="shared" si="161"/>
        <v>4.7778698715292167</v>
      </c>
      <c r="BD119" s="181">
        <f t="shared" si="162"/>
        <v>0.10664024970499111</v>
      </c>
      <c r="BE119" s="181">
        <f t="shared" si="142"/>
        <v>0.12907823393659548</v>
      </c>
      <c r="BG119" s="548">
        <f t="shared" si="212"/>
        <v>3.9802499999999994E-3</v>
      </c>
      <c r="BH119" s="548">
        <f t="shared" si="213"/>
        <v>1.5795581896551725E-2</v>
      </c>
      <c r="BI119" s="548">
        <f t="shared" si="214"/>
        <v>3.059973246135553E-3</v>
      </c>
      <c r="BJ119" s="548">
        <f t="shared" si="215"/>
        <v>6.9684388237589174E-3</v>
      </c>
      <c r="BK119">
        <f t="shared" si="216"/>
        <v>2.0300000000000001E-3</v>
      </c>
      <c r="BL119" s="474">
        <f t="shared" si="217"/>
        <v>31.834243966446191</v>
      </c>
      <c r="BM119" s="548">
        <f t="shared" si="218"/>
        <v>9.4500000000000001E-3</v>
      </c>
      <c r="BP119" s="474">
        <f t="shared" si="219"/>
        <v>9.4499999999999993</v>
      </c>
      <c r="BQ119" s="548">
        <f t="shared" si="220"/>
        <v>0</v>
      </c>
      <c r="BR119" s="548">
        <f t="shared" si="221"/>
        <v>0</v>
      </c>
      <c r="BS119" s="548">
        <f t="shared" si="222"/>
        <v>2.1231664359373111E-3</v>
      </c>
      <c r="BT119" s="548">
        <f t="shared" si="223"/>
        <v>2.1616875000000001E-2</v>
      </c>
      <c r="BU119" s="474">
        <f t="shared" si="224"/>
        <v>23.740041435937311</v>
      </c>
      <c r="BV119" s="181">
        <f t="shared" si="225"/>
        <v>6.5024285402383503E-2</v>
      </c>
      <c r="BW119" s="6">
        <f t="shared" si="226"/>
        <v>0.40499999999999997</v>
      </c>
      <c r="BX119" s="181">
        <f t="shared" si="227"/>
        <v>0.86165760489010301</v>
      </c>
      <c r="BY119" s="6">
        <f t="shared" si="228"/>
        <v>86.165760489010296</v>
      </c>
      <c r="CB119" s="583">
        <f t="shared" si="229"/>
        <v>-50</v>
      </c>
      <c r="CC119">
        <f t="shared" si="230"/>
        <v>-50</v>
      </c>
    </row>
    <row r="120" spans="5:81" x14ac:dyDescent="0.2">
      <c r="E120" s="178">
        <v>10</v>
      </c>
      <c r="F120" s="225">
        <f t="shared" si="231"/>
        <v>0.03</v>
      </c>
      <c r="G120" s="225"/>
      <c r="H120" s="225">
        <f t="shared" si="182"/>
        <v>0.44999999999999996</v>
      </c>
      <c r="I120" s="561">
        <f t="shared" si="183"/>
        <v>7</v>
      </c>
      <c r="J120" s="456">
        <f t="shared" si="184"/>
        <v>15.25</v>
      </c>
      <c r="K120" s="456">
        <f t="shared" si="185"/>
        <v>22.25</v>
      </c>
      <c r="L120" s="456"/>
      <c r="M120" s="225">
        <f t="shared" si="186"/>
        <v>0.6853932584269663</v>
      </c>
      <c r="N120" s="180">
        <f t="shared" si="232"/>
        <v>3.1305337078651685</v>
      </c>
      <c r="O120" s="180">
        <f t="shared" si="156"/>
        <v>0.44999999999999996</v>
      </c>
      <c r="P120" s="225">
        <f t="shared" si="187"/>
        <v>0.20870224719101124</v>
      </c>
      <c r="Q120" s="225">
        <f t="shared" si="188"/>
        <v>15</v>
      </c>
      <c r="R120" s="225"/>
      <c r="S120" s="180">
        <f t="shared" si="189"/>
        <v>145.2620264973427</v>
      </c>
      <c r="T120" s="180">
        <f t="shared" si="190"/>
        <v>15</v>
      </c>
      <c r="U120" s="225">
        <f t="shared" si="191"/>
        <v>0.20843091334894612</v>
      </c>
      <c r="V120" s="225">
        <f t="shared" si="192"/>
        <v>1.1910337905654067</v>
      </c>
      <c r="W120" s="225">
        <f t="shared" si="193"/>
        <v>0.54670403501362919</v>
      </c>
      <c r="X120" s="205">
        <f t="shared" si="194"/>
        <v>350</v>
      </c>
      <c r="Y120" s="456">
        <f t="shared" si="195"/>
        <v>350</v>
      </c>
      <c r="AA120" s="225">
        <f t="shared" si="196"/>
        <v>0.34269662921348309</v>
      </c>
      <c r="AB120" s="181">
        <f t="shared" si="197"/>
        <v>0.89887640449438189</v>
      </c>
      <c r="AC120" s="181">
        <f t="shared" si="198"/>
        <v>5.3907334932458008E-2</v>
      </c>
      <c r="AD120" s="181"/>
      <c r="AE120" s="181">
        <f t="shared" si="199"/>
        <v>0.76065573770491812</v>
      </c>
      <c r="AF120" s="565">
        <f t="shared" si="200"/>
        <v>271.99762187871579</v>
      </c>
      <c r="AG120" s="548">
        <f t="shared" si="201"/>
        <v>3.8603278688524589E-2</v>
      </c>
      <c r="AI120" s="181">
        <f t="shared" si="202"/>
        <v>0.255650430973904</v>
      </c>
      <c r="AJ120" s="181">
        <f t="shared" si="203"/>
        <v>0.28999999999999998</v>
      </c>
      <c r="AK120" s="181">
        <f t="shared" si="204"/>
        <v>1.1554272125021234</v>
      </c>
      <c r="AM120" s="565">
        <f t="shared" si="205"/>
        <v>30</v>
      </c>
      <c r="AN120" s="474">
        <f t="shared" si="206"/>
        <v>271.99762187871579</v>
      </c>
      <c r="AP120" s="474">
        <f t="shared" si="207"/>
        <v>30</v>
      </c>
      <c r="AQ120" s="474">
        <f t="shared" si="208"/>
        <v>271.99762187871579</v>
      </c>
      <c r="AS120" s="6">
        <f t="shared" si="158"/>
        <v>3.6765027322404373</v>
      </c>
      <c r="AT120" s="6">
        <f t="shared" si="209"/>
        <v>1.6571428571428573</v>
      </c>
      <c r="AU120" s="6">
        <f t="shared" si="210"/>
        <v>2.0193598750975799</v>
      </c>
      <c r="AV120" s="6"/>
      <c r="AW120" s="181">
        <f t="shared" si="211"/>
        <v>0.45073891625615764</v>
      </c>
      <c r="AX120" s="181">
        <f t="shared" si="138"/>
        <v>0.45749999999999996</v>
      </c>
      <c r="AY120" s="181">
        <f t="shared" si="139"/>
        <v>7.9642857142857126E-2</v>
      </c>
      <c r="AZ120" s="181">
        <f t="shared" si="161"/>
        <v>5.7443946188340815</v>
      </c>
      <c r="BD120" s="181">
        <f t="shared" si="162"/>
        <v>0.11240869310562367</v>
      </c>
      <c r="BE120" s="181">
        <f t="shared" si="142"/>
        <v>0.12408714295856377</v>
      </c>
      <c r="BG120" s="548">
        <f t="shared" si="212"/>
        <v>4.4224999999999993E-3</v>
      </c>
      <c r="BH120" s="548">
        <f t="shared" si="213"/>
        <v>1.7550646551724135E-2</v>
      </c>
      <c r="BI120" s="548">
        <f t="shared" si="214"/>
        <v>3.3999702734839473E-3</v>
      </c>
      <c r="BJ120" s="548">
        <f t="shared" si="215"/>
        <v>7.7427098041765738E-3</v>
      </c>
      <c r="BK120">
        <f t="shared" si="216"/>
        <v>2.0300000000000001E-3</v>
      </c>
      <c r="BL120" s="474">
        <f t="shared" si="217"/>
        <v>35.145826629384651</v>
      </c>
      <c r="BM120" s="548">
        <f t="shared" si="218"/>
        <v>1.0499999999999999E-2</v>
      </c>
      <c r="BP120" s="474">
        <f t="shared" si="219"/>
        <v>10.499999999999998</v>
      </c>
      <c r="BQ120" s="548">
        <f t="shared" si="220"/>
        <v>0</v>
      </c>
      <c r="BR120" s="548">
        <f t="shared" si="221"/>
        <v>0</v>
      </c>
      <c r="BS120" s="548">
        <f t="shared" si="222"/>
        <v>2.7629801601579706E-3</v>
      </c>
      <c r="BT120" s="548">
        <f t="shared" si="223"/>
        <v>2.4018750000000002E-2</v>
      </c>
      <c r="BU120" s="474">
        <f t="shared" si="224"/>
        <v>26.781730160157974</v>
      </c>
      <c r="BV120" s="181">
        <f t="shared" si="225"/>
        <v>7.242755678954263E-2</v>
      </c>
      <c r="BW120" s="6">
        <f t="shared" si="226"/>
        <v>0.44999999999999996</v>
      </c>
      <c r="BX120" s="181">
        <f t="shared" si="227"/>
        <v>0.86136344484845062</v>
      </c>
      <c r="BY120" s="6">
        <f t="shared" si="228"/>
        <v>86.136344484845068</v>
      </c>
      <c r="CB120" s="583">
        <f t="shared" si="229"/>
        <v>-50</v>
      </c>
      <c r="CC120">
        <f t="shared" si="230"/>
        <v>-50</v>
      </c>
    </row>
    <row r="121" spans="5:81" x14ac:dyDescent="0.2">
      <c r="E121" s="178">
        <v>11</v>
      </c>
      <c r="F121" s="225">
        <f t="shared" si="231"/>
        <v>3.3000000000000002E-2</v>
      </c>
      <c r="G121" s="225"/>
      <c r="H121" s="225">
        <f t="shared" si="182"/>
        <v>0.495</v>
      </c>
      <c r="I121" s="561">
        <f t="shared" si="183"/>
        <v>7</v>
      </c>
      <c r="J121" s="456">
        <f t="shared" si="184"/>
        <v>15.25</v>
      </c>
      <c r="K121" s="456">
        <f t="shared" si="185"/>
        <v>22.25</v>
      </c>
      <c r="L121" s="456"/>
      <c r="M121" s="225">
        <f t="shared" si="186"/>
        <v>0.6853932584269663</v>
      </c>
      <c r="N121" s="180">
        <f t="shared" si="232"/>
        <v>3.1305337078651685</v>
      </c>
      <c r="O121" s="180">
        <f t="shared" si="156"/>
        <v>0.495</v>
      </c>
      <c r="P121" s="225">
        <f t="shared" si="187"/>
        <v>0.20870224719101124</v>
      </c>
      <c r="Q121" s="225">
        <f t="shared" si="188"/>
        <v>15</v>
      </c>
      <c r="R121" s="225"/>
      <c r="S121" s="180">
        <f t="shared" si="189"/>
        <v>131.42238147147341</v>
      </c>
      <c r="T121" s="180">
        <f t="shared" si="190"/>
        <v>15</v>
      </c>
      <c r="U121" s="225">
        <f t="shared" si="191"/>
        <v>0.22927400468384077</v>
      </c>
      <c r="V121" s="225">
        <f t="shared" si="192"/>
        <v>1.3101371696219473</v>
      </c>
      <c r="W121" s="225">
        <f t="shared" si="193"/>
        <v>0.60137443851499217</v>
      </c>
      <c r="X121" s="205">
        <f t="shared" si="194"/>
        <v>350</v>
      </c>
      <c r="Y121" s="456">
        <f t="shared" si="195"/>
        <v>350</v>
      </c>
      <c r="AA121" s="225">
        <f t="shared" si="196"/>
        <v>0.34269662921348309</v>
      </c>
      <c r="AB121" s="181">
        <f t="shared" si="197"/>
        <v>0.89887640449438189</v>
      </c>
      <c r="AC121" s="181">
        <f t="shared" si="198"/>
        <v>5.3907334932458008E-2</v>
      </c>
      <c r="AD121" s="181"/>
      <c r="AE121" s="181">
        <f t="shared" si="199"/>
        <v>0.76065573770491812</v>
      </c>
      <c r="AF121" s="565">
        <f t="shared" si="200"/>
        <v>299.1973840665874</v>
      </c>
      <c r="AG121" s="548">
        <f t="shared" si="201"/>
        <v>3.8603278688524589E-2</v>
      </c>
      <c r="AI121" s="181">
        <f t="shared" si="202"/>
        <v>0.2681284340439431</v>
      </c>
      <c r="AJ121" s="181">
        <f t="shared" si="203"/>
        <v>0.28999999999999998</v>
      </c>
      <c r="AK121" s="181">
        <f t="shared" si="204"/>
        <v>1.1709699337523356</v>
      </c>
      <c r="AM121" s="565">
        <f t="shared" si="205"/>
        <v>33</v>
      </c>
      <c r="AN121" s="474">
        <f t="shared" si="206"/>
        <v>299.1973840665874</v>
      </c>
      <c r="AP121" s="474">
        <f t="shared" si="207"/>
        <v>33</v>
      </c>
      <c r="AQ121" s="474">
        <f t="shared" si="208"/>
        <v>299.1973840665874</v>
      </c>
      <c r="AS121" s="6">
        <f t="shared" si="158"/>
        <v>3.3422752111276699</v>
      </c>
      <c r="AT121" s="6">
        <f t="shared" si="209"/>
        <v>1.6571428571428573</v>
      </c>
      <c r="AU121" s="6">
        <f t="shared" si="210"/>
        <v>1.6851323539848126</v>
      </c>
      <c r="AV121" s="6"/>
      <c r="AW121" s="181">
        <f t="shared" si="211"/>
        <v>0.49581280788177345</v>
      </c>
      <c r="AX121" s="181">
        <f t="shared" si="138"/>
        <v>0.50324999999999998</v>
      </c>
      <c r="AY121" s="181">
        <f t="shared" si="139"/>
        <v>7.3107142857142857E-2</v>
      </c>
      <c r="AZ121" s="181">
        <f t="shared" si="161"/>
        <v>6.8837322911577914</v>
      </c>
      <c r="BD121" s="181">
        <f t="shared" si="162"/>
        <v>0.11789523194042122</v>
      </c>
      <c r="BE121" s="181">
        <f t="shared" si="142"/>
        <v>0.11888670076609753</v>
      </c>
      <c r="BG121" s="548">
        <f t="shared" si="212"/>
        <v>4.8647500000000002E-3</v>
      </c>
      <c r="BH121" s="548">
        <f t="shared" si="213"/>
        <v>1.9305711206896552E-2</v>
      </c>
      <c r="BI121" s="548">
        <f t="shared" si="214"/>
        <v>3.739967300832342E-3</v>
      </c>
      <c r="BJ121" s="548">
        <f t="shared" si="215"/>
        <v>8.516980784594232E-3</v>
      </c>
      <c r="BK121">
        <f t="shared" si="216"/>
        <v>2.0300000000000001E-3</v>
      </c>
      <c r="BL121" s="474">
        <f t="shared" si="217"/>
        <v>38.457409292323121</v>
      </c>
      <c r="BM121" s="548">
        <f t="shared" si="218"/>
        <v>1.155E-2</v>
      </c>
      <c r="BP121" s="474">
        <f t="shared" si="219"/>
        <v>11.549999999999999</v>
      </c>
      <c r="BQ121" s="548">
        <f t="shared" si="220"/>
        <v>0</v>
      </c>
      <c r="BR121" s="548">
        <f t="shared" si="221"/>
        <v>0</v>
      </c>
      <c r="BS121" s="548">
        <f t="shared" si="222"/>
        <v>3.5063840275436375E-3</v>
      </c>
      <c r="BT121" s="548">
        <f t="shared" si="223"/>
        <v>2.6420625000000003E-2</v>
      </c>
      <c r="BU121" s="474">
        <f t="shared" si="224"/>
        <v>29.92700902754364</v>
      </c>
      <c r="BV121" s="181">
        <f t="shared" si="225"/>
        <v>7.9934418319866751E-2</v>
      </c>
      <c r="BW121" s="6">
        <f t="shared" si="226"/>
        <v>0.495</v>
      </c>
      <c r="BX121" s="181">
        <f t="shared" si="227"/>
        <v>0.8609677629781507</v>
      </c>
      <c r="BY121" s="6">
        <f t="shared" si="228"/>
        <v>86.096776297815069</v>
      </c>
      <c r="CB121" s="583">
        <f t="shared" si="229"/>
        <v>-50</v>
      </c>
      <c r="CC121">
        <f t="shared" si="230"/>
        <v>-50</v>
      </c>
    </row>
    <row r="122" spans="5:81" x14ac:dyDescent="0.2">
      <c r="E122" s="178">
        <v>12</v>
      </c>
      <c r="F122" s="225">
        <f t="shared" si="231"/>
        <v>3.5999999999999997E-2</v>
      </c>
      <c r="G122" s="225"/>
      <c r="H122" s="225">
        <f t="shared" si="182"/>
        <v>0.53999999999999992</v>
      </c>
      <c r="I122" s="561">
        <f t="shared" si="183"/>
        <v>7</v>
      </c>
      <c r="J122" s="456">
        <f t="shared" si="184"/>
        <v>15.25</v>
      </c>
      <c r="K122" s="456">
        <f t="shared" si="185"/>
        <v>22.25</v>
      </c>
      <c r="L122" s="456"/>
      <c r="M122" s="225">
        <f t="shared" si="186"/>
        <v>0.6853932584269663</v>
      </c>
      <c r="N122" s="180">
        <f t="shared" si="232"/>
        <v>3.1305337078651685</v>
      </c>
      <c r="O122" s="180">
        <f t="shared" si="156"/>
        <v>0.53999999999999992</v>
      </c>
      <c r="P122" s="225">
        <f t="shared" si="187"/>
        <v>0.20870224719101124</v>
      </c>
      <c r="Q122" s="225">
        <f t="shared" si="188"/>
        <v>15</v>
      </c>
      <c r="R122" s="225"/>
      <c r="S122" s="180">
        <f t="shared" si="189"/>
        <v>119.88956639184376</v>
      </c>
      <c r="T122" s="180">
        <f t="shared" si="190"/>
        <v>15</v>
      </c>
      <c r="U122" s="225">
        <f t="shared" si="191"/>
        <v>0.25011709601873533</v>
      </c>
      <c r="V122" s="225">
        <f t="shared" si="192"/>
        <v>1.4292405486784878</v>
      </c>
      <c r="W122" s="225">
        <f t="shared" si="193"/>
        <v>0.65604484201635505</v>
      </c>
      <c r="X122" s="205">
        <f t="shared" si="194"/>
        <v>350</v>
      </c>
      <c r="Y122" s="456">
        <f t="shared" si="195"/>
        <v>350</v>
      </c>
      <c r="AA122" s="225">
        <f t="shared" si="196"/>
        <v>0.34269662921348309</v>
      </c>
      <c r="AB122" s="181">
        <f t="shared" si="197"/>
        <v>0.89887640449438189</v>
      </c>
      <c r="AC122" s="181">
        <f t="shared" si="198"/>
        <v>5.3907334932458008E-2</v>
      </c>
      <c r="AD122" s="181"/>
      <c r="AE122" s="181">
        <f t="shared" si="199"/>
        <v>0.76065573770491812</v>
      </c>
      <c r="AF122" s="565">
        <f t="shared" si="200"/>
        <v>326.3971462544589</v>
      </c>
      <c r="AG122" s="548">
        <f t="shared" si="201"/>
        <v>3.8603278688524589E-2</v>
      </c>
      <c r="AI122" s="181">
        <f t="shared" si="202"/>
        <v>0.28005101576064928</v>
      </c>
      <c r="AJ122" s="181">
        <f t="shared" si="203"/>
        <v>0.28999999999999998</v>
      </c>
      <c r="AK122" s="181">
        <f t="shared" si="204"/>
        <v>1.186512655002548</v>
      </c>
      <c r="AM122" s="565">
        <f t="shared" si="205"/>
        <v>36</v>
      </c>
      <c r="AN122" s="474">
        <f t="shared" si="206"/>
        <v>326.3971462544589</v>
      </c>
      <c r="AP122" s="474">
        <f t="shared" si="207"/>
        <v>36</v>
      </c>
      <c r="AQ122" s="474">
        <f t="shared" si="208"/>
        <v>326.3971462544589</v>
      </c>
      <c r="AS122" s="6">
        <f t="shared" si="158"/>
        <v>3.063752276867032</v>
      </c>
      <c r="AT122" s="6">
        <f t="shared" si="209"/>
        <v>1.6571428571428573</v>
      </c>
      <c r="AU122" s="6">
        <f t="shared" si="210"/>
        <v>1.4066094197241747</v>
      </c>
      <c r="AV122" s="6"/>
      <c r="AW122" s="181">
        <f t="shared" si="211"/>
        <v>0.54088669950738899</v>
      </c>
      <c r="AX122" s="181">
        <f t="shared" si="138"/>
        <v>0.54899999999999993</v>
      </c>
      <c r="AY122" s="181">
        <f t="shared" si="139"/>
        <v>6.6571428571428587E-2</v>
      </c>
      <c r="AZ122" s="181">
        <f t="shared" si="161"/>
        <v>8.2467811158798252</v>
      </c>
      <c r="BD122" s="181">
        <f t="shared" si="162"/>
        <v>0.12313755374725102</v>
      </c>
      <c r="BE122" s="181">
        <f t="shared" si="142"/>
        <v>0.11344812114123438</v>
      </c>
      <c r="BG122" s="548">
        <f t="shared" si="212"/>
        <v>5.3069999999999966E-3</v>
      </c>
      <c r="BH122" s="548">
        <f t="shared" si="213"/>
        <v>2.1060775862068958E-2</v>
      </c>
      <c r="BI122" s="548">
        <f t="shared" si="214"/>
        <v>4.0799643281807354E-3</v>
      </c>
      <c r="BJ122" s="548">
        <f t="shared" si="215"/>
        <v>9.2912517650118875E-3</v>
      </c>
      <c r="BK122">
        <f t="shared" si="216"/>
        <v>2.0300000000000001E-3</v>
      </c>
      <c r="BL122" s="474">
        <f t="shared" si="217"/>
        <v>41.768991955261576</v>
      </c>
      <c r="BM122" s="548">
        <f t="shared" si="218"/>
        <v>1.2599999999999998E-2</v>
      </c>
      <c r="BP122" s="474">
        <f t="shared" si="219"/>
        <v>12.599999999999998</v>
      </c>
      <c r="BQ122" s="548">
        <f t="shared" si="220"/>
        <v>0</v>
      </c>
      <c r="BR122" s="548">
        <f t="shared" si="221"/>
        <v>0</v>
      </c>
      <c r="BS122" s="548">
        <f t="shared" si="222"/>
        <v>4.3584380918143513E-3</v>
      </c>
      <c r="BT122" s="548">
        <f t="shared" si="223"/>
        <v>2.8822499999999997E-2</v>
      </c>
      <c r="BU122" s="474">
        <f t="shared" si="224"/>
        <v>33.180938091814348</v>
      </c>
      <c r="BV122" s="181">
        <f t="shared" si="225"/>
        <v>8.7549930047075925E-2</v>
      </c>
      <c r="BW122" s="6">
        <f t="shared" si="226"/>
        <v>0.53999999999999992</v>
      </c>
      <c r="BX122" s="181">
        <f t="shared" si="227"/>
        <v>0.86048929996612644</v>
      </c>
      <c r="BY122" s="6">
        <f t="shared" si="228"/>
        <v>86.048929996612642</v>
      </c>
      <c r="CB122" s="583">
        <f t="shared" si="229"/>
        <v>-50</v>
      </c>
      <c r="CC122">
        <f t="shared" si="230"/>
        <v>-50</v>
      </c>
    </row>
    <row r="123" spans="5:81" x14ac:dyDescent="0.2">
      <c r="E123" s="178">
        <v>13</v>
      </c>
      <c r="F123" s="225">
        <f t="shared" si="231"/>
        <v>3.9E-2</v>
      </c>
      <c r="G123" s="225"/>
      <c r="H123" s="225">
        <f t="shared" si="182"/>
        <v>0.58499999999999996</v>
      </c>
      <c r="I123" s="561">
        <f t="shared" si="183"/>
        <v>7</v>
      </c>
      <c r="J123" s="456">
        <f t="shared" si="184"/>
        <v>15.25</v>
      </c>
      <c r="K123" s="456">
        <f t="shared" si="185"/>
        <v>22.25</v>
      </c>
      <c r="L123" s="456"/>
      <c r="M123" s="225">
        <f t="shared" si="186"/>
        <v>0.6853932584269663</v>
      </c>
      <c r="N123" s="180">
        <f t="shared" si="232"/>
        <v>3.1305337078651685</v>
      </c>
      <c r="O123" s="180">
        <f t="shared" si="156"/>
        <v>0.58499999999999996</v>
      </c>
      <c r="P123" s="225">
        <f t="shared" si="187"/>
        <v>0.20870224719101124</v>
      </c>
      <c r="Q123" s="225">
        <f t="shared" si="188"/>
        <v>15</v>
      </c>
      <c r="R123" s="225"/>
      <c r="S123" s="180">
        <f t="shared" si="189"/>
        <v>110.13123875889377</v>
      </c>
      <c r="T123" s="180">
        <f t="shared" si="190"/>
        <v>15</v>
      </c>
      <c r="U123" s="225">
        <f t="shared" si="191"/>
        <v>0.27096018735362998</v>
      </c>
      <c r="V123" s="225">
        <f t="shared" si="192"/>
        <v>1.5483439277350286</v>
      </c>
      <c r="W123" s="225">
        <f t="shared" si="193"/>
        <v>0.71071524551771803</v>
      </c>
      <c r="X123" s="205">
        <f t="shared" si="194"/>
        <v>350</v>
      </c>
      <c r="Y123" s="456">
        <f t="shared" si="195"/>
        <v>350</v>
      </c>
      <c r="AA123" s="225">
        <f t="shared" si="196"/>
        <v>0.34269662921348309</v>
      </c>
      <c r="AB123" s="181">
        <f t="shared" si="197"/>
        <v>0.89887640449438189</v>
      </c>
      <c r="AC123" s="181">
        <f t="shared" si="198"/>
        <v>5.3907334932458008E-2</v>
      </c>
      <c r="AD123" s="181"/>
      <c r="AE123" s="181">
        <f t="shared" si="199"/>
        <v>0.76065573770491812</v>
      </c>
      <c r="AF123" s="565">
        <f t="shared" si="200"/>
        <v>353.59690844233057</v>
      </c>
      <c r="AG123" s="548">
        <f t="shared" si="201"/>
        <v>3.8603278688524589E-2</v>
      </c>
      <c r="AI123" s="181">
        <f t="shared" si="202"/>
        <v>0.29148633881244884</v>
      </c>
      <c r="AJ123" s="181">
        <f t="shared" si="203"/>
        <v>0.29148633881244884</v>
      </c>
      <c r="AK123" s="181">
        <f t="shared" si="204"/>
        <v>1.2011009917129249</v>
      </c>
      <c r="AM123" s="565">
        <f t="shared" si="205"/>
        <v>39</v>
      </c>
      <c r="AN123" s="474">
        <f t="shared" si="206"/>
        <v>350</v>
      </c>
      <c r="AP123" s="474">
        <f t="shared" si="207"/>
        <v>39</v>
      </c>
      <c r="AQ123" s="474">
        <f t="shared" si="208"/>
        <v>350</v>
      </c>
      <c r="AS123" s="6">
        <f t="shared" si="158"/>
        <v>2.8571428571428572</v>
      </c>
      <c r="AT123" s="6">
        <f t="shared" si="209"/>
        <v>1.6656362217854224</v>
      </c>
      <c r="AU123" s="6">
        <f t="shared" si="210"/>
        <v>1.1915066353574348</v>
      </c>
      <c r="AV123" s="6"/>
      <c r="AW123" s="181">
        <f t="shared" si="211"/>
        <v>0.58297267762489779</v>
      </c>
      <c r="AX123" s="181">
        <f t="shared" si="138"/>
        <v>0.59475</v>
      </c>
      <c r="AY123" s="181">
        <f t="shared" si="139"/>
        <v>6.0778883691938686E-2</v>
      </c>
      <c r="AZ123" s="181">
        <f t="shared" si="161"/>
        <v>9.7854709378099969</v>
      </c>
      <c r="BD123" s="181">
        <f t="shared" si="162"/>
        <v>0.12849365372829896</v>
      </c>
      <c r="BE123" s="181">
        <f t="shared" si="142"/>
        <v>0.10867754838503017</v>
      </c>
      <c r="BG123" s="548">
        <f t="shared" si="212"/>
        <v>5.7787166669567985E-3</v>
      </c>
      <c r="BH123" s="548">
        <f t="shared" si="213"/>
        <v>2.2699498635019456E-2</v>
      </c>
      <c r="BI123" s="548">
        <f t="shared" si="214"/>
        <v>4.3749999999999995E-3</v>
      </c>
      <c r="BJ123" s="548">
        <f t="shared" si="215"/>
        <v>9.9631328124999991E-3</v>
      </c>
      <c r="BK123">
        <f t="shared" si="216"/>
        <v>2.0300000000000001E-3</v>
      </c>
      <c r="BL123" s="474">
        <f t="shared" si="217"/>
        <v>44.84634811447625</v>
      </c>
      <c r="BM123" s="548">
        <f t="shared" si="218"/>
        <v>1.3649999999999999E-2</v>
      </c>
      <c r="BP123" s="474">
        <f t="shared" si="219"/>
        <v>13.649999999999999</v>
      </c>
      <c r="BQ123" s="548">
        <f t="shared" si="220"/>
        <v>0</v>
      </c>
      <c r="BR123" s="548">
        <f t="shared" si="221"/>
        <v>0</v>
      </c>
      <c r="BS123" s="548">
        <f t="shared" si="222"/>
        <v>5.256366376584035E-3</v>
      </c>
      <c r="BT123" s="548">
        <f t="shared" si="223"/>
        <v>3.1224375000000002E-2</v>
      </c>
      <c r="BU123" s="474">
        <f t="shared" si="224"/>
        <v>36.480741376584042</v>
      </c>
      <c r="BV123" s="181">
        <f t="shared" si="225"/>
        <v>9.497708949106029E-2</v>
      </c>
      <c r="BW123" s="6">
        <f t="shared" si="226"/>
        <v>0.58499999999999996</v>
      </c>
      <c r="BX123" s="181">
        <f t="shared" si="227"/>
        <v>0.86032310358846442</v>
      </c>
      <c r="BY123" s="6">
        <f t="shared" si="228"/>
        <v>86.032310358846445</v>
      </c>
      <c r="CB123" s="583">
        <f t="shared" si="229"/>
        <v>-50</v>
      </c>
      <c r="CC123">
        <f t="shared" si="230"/>
        <v>-50</v>
      </c>
    </row>
    <row r="124" spans="5:81" x14ac:dyDescent="0.2">
      <c r="E124" s="178">
        <v>14</v>
      </c>
      <c r="F124" s="225">
        <f t="shared" si="231"/>
        <v>4.2000000000000003E-2</v>
      </c>
      <c r="G124" s="225"/>
      <c r="H124" s="225">
        <f t="shared" si="182"/>
        <v>0.63</v>
      </c>
      <c r="I124" s="561">
        <f t="shared" si="183"/>
        <v>7</v>
      </c>
      <c r="J124" s="456">
        <f t="shared" si="184"/>
        <v>15.25</v>
      </c>
      <c r="K124" s="456">
        <f t="shared" si="185"/>
        <v>22.25</v>
      </c>
      <c r="L124" s="456"/>
      <c r="M124" s="225">
        <f t="shared" si="186"/>
        <v>0.6853932584269663</v>
      </c>
      <c r="N124" s="180">
        <f t="shared" si="232"/>
        <v>3.1305337078651685</v>
      </c>
      <c r="O124" s="180">
        <f t="shared" si="156"/>
        <v>0.63</v>
      </c>
      <c r="P124" s="225">
        <f t="shared" si="187"/>
        <v>0.20870224719101124</v>
      </c>
      <c r="Q124" s="225">
        <f t="shared" si="188"/>
        <v>15</v>
      </c>
      <c r="R124" s="225"/>
      <c r="S124" s="180">
        <f t="shared" si="189"/>
        <v>101.76715397785337</v>
      </c>
      <c r="T124" s="180">
        <f t="shared" si="190"/>
        <v>15</v>
      </c>
      <c r="U124" s="225">
        <f t="shared" si="191"/>
        <v>0.29180327868852463</v>
      </c>
      <c r="V124" s="225">
        <f t="shared" si="192"/>
        <v>1.6674473067915694</v>
      </c>
      <c r="W124" s="225">
        <f t="shared" si="193"/>
        <v>0.76538564901908102</v>
      </c>
      <c r="X124" s="205">
        <f t="shared" si="194"/>
        <v>350</v>
      </c>
      <c r="Y124" s="456">
        <f t="shared" si="195"/>
        <v>350</v>
      </c>
      <c r="AA124" s="225">
        <f t="shared" si="196"/>
        <v>0.34269662921348309</v>
      </c>
      <c r="AB124" s="181">
        <f t="shared" si="197"/>
        <v>0.89887640449438189</v>
      </c>
      <c r="AC124" s="181">
        <f t="shared" si="198"/>
        <v>5.3907334932458008E-2</v>
      </c>
      <c r="AD124" s="181"/>
      <c r="AE124" s="181">
        <f t="shared" si="199"/>
        <v>0.76065573770491812</v>
      </c>
      <c r="AF124" s="565">
        <f t="shared" si="200"/>
        <v>380.79667063020219</v>
      </c>
      <c r="AG124" s="548">
        <f t="shared" si="201"/>
        <v>3.8603278688524589E-2</v>
      </c>
      <c r="AI124" s="181">
        <f t="shared" si="202"/>
        <v>0.30248966924508347</v>
      </c>
      <c r="AJ124" s="181">
        <f t="shared" si="203"/>
        <v>0.30248966924508347</v>
      </c>
      <c r="AK124" s="181">
        <f t="shared" si="204"/>
        <v>1.20925160684821</v>
      </c>
      <c r="AM124" s="565">
        <f t="shared" si="205"/>
        <v>42</v>
      </c>
      <c r="AN124" s="474">
        <f t="shared" si="206"/>
        <v>350</v>
      </c>
      <c r="AP124" s="474">
        <f t="shared" si="207"/>
        <v>42</v>
      </c>
      <c r="AQ124" s="474">
        <f t="shared" si="208"/>
        <v>350</v>
      </c>
      <c r="AS124" s="6">
        <f t="shared" si="158"/>
        <v>2.8571428571428572</v>
      </c>
      <c r="AT124" s="6">
        <f t="shared" si="209"/>
        <v>1.7285123956861914</v>
      </c>
      <c r="AU124" s="6">
        <f t="shared" si="210"/>
        <v>1.1286304614566658</v>
      </c>
      <c r="AV124" s="6"/>
      <c r="AW124" s="181">
        <f t="shared" si="211"/>
        <v>0.60497933849016694</v>
      </c>
      <c r="AX124" s="181">
        <f t="shared" si="138"/>
        <v>0.64049999999999996</v>
      </c>
      <c r="AY124" s="181">
        <f t="shared" si="139"/>
        <v>5.9744834622541737E-2</v>
      </c>
      <c r="AZ124" s="181">
        <f t="shared" si="161"/>
        <v>10.720592065348846</v>
      </c>
      <c r="BD124" s="181">
        <f t="shared" si="162"/>
        <v>0.13583765981475862</v>
      </c>
      <c r="BE124" s="181">
        <f t="shared" si="142"/>
        <v>0.10976397485536822</v>
      </c>
      <c r="BG124" s="548">
        <f t="shared" si="212"/>
        <v>6.4581544383825306E-3</v>
      </c>
      <c r="BH124" s="548">
        <f t="shared" si="213"/>
        <v>2.3556382992460878E-2</v>
      </c>
      <c r="BI124" s="548">
        <f t="shared" si="214"/>
        <v>4.3749999999999995E-3</v>
      </c>
      <c r="BJ124" s="548">
        <f t="shared" si="215"/>
        <v>9.9631328124999991E-3</v>
      </c>
      <c r="BK124">
        <f t="shared" si="216"/>
        <v>2.0300000000000001E-3</v>
      </c>
      <c r="BL124" s="474">
        <f t="shared" si="217"/>
        <v>46.382670243343405</v>
      </c>
      <c r="BM124" s="548">
        <f t="shared" si="218"/>
        <v>1.47E-2</v>
      </c>
      <c r="BP124" s="474">
        <f t="shared" si="219"/>
        <v>14.7</v>
      </c>
      <c r="BQ124" s="548">
        <f t="shared" si="220"/>
        <v>0</v>
      </c>
      <c r="BR124" s="548">
        <f t="shared" si="221"/>
        <v>0</v>
      </c>
      <c r="BS124" s="548">
        <f t="shared" si="222"/>
        <v>5.7665555870953372E-3</v>
      </c>
      <c r="BT124" s="548">
        <f t="shared" si="223"/>
        <v>3.3626250000000003E-2</v>
      </c>
      <c r="BU124" s="474">
        <f t="shared" si="224"/>
        <v>39.392805587095339</v>
      </c>
      <c r="BV124" s="181">
        <f t="shared" si="225"/>
        <v>0.10047547583043873</v>
      </c>
      <c r="BW124" s="6">
        <f t="shared" si="226"/>
        <v>0.63</v>
      </c>
      <c r="BX124" s="181">
        <f t="shared" si="227"/>
        <v>0.86245195197523439</v>
      </c>
      <c r="BY124" s="6">
        <f t="shared" si="228"/>
        <v>86.245195197523444</v>
      </c>
      <c r="CB124" s="583">
        <f t="shared" si="229"/>
        <v>-50</v>
      </c>
      <c r="CC124">
        <f t="shared" si="230"/>
        <v>-50</v>
      </c>
    </row>
    <row r="125" spans="5:81" x14ac:dyDescent="0.2">
      <c r="E125" s="178">
        <v>15</v>
      </c>
      <c r="F125" s="225">
        <f t="shared" si="231"/>
        <v>4.4999999999999998E-2</v>
      </c>
      <c r="G125" s="225"/>
      <c r="H125" s="225">
        <f t="shared" si="182"/>
        <v>0.67499999999999993</v>
      </c>
      <c r="I125" s="561">
        <f t="shared" si="183"/>
        <v>7</v>
      </c>
      <c r="J125" s="456">
        <f t="shared" si="184"/>
        <v>15.25</v>
      </c>
      <c r="K125" s="456">
        <f t="shared" si="185"/>
        <v>22.25</v>
      </c>
      <c r="L125" s="456"/>
      <c r="M125" s="225">
        <f t="shared" si="186"/>
        <v>0.6853932584269663</v>
      </c>
      <c r="N125" s="180">
        <f t="shared" si="232"/>
        <v>3.1305337078651685</v>
      </c>
      <c r="O125" s="180">
        <f t="shared" si="156"/>
        <v>0.67499999999999993</v>
      </c>
      <c r="P125" s="225">
        <f t="shared" si="187"/>
        <v>0.20870224719101124</v>
      </c>
      <c r="Q125" s="225">
        <f t="shared" si="188"/>
        <v>15</v>
      </c>
      <c r="R125" s="225"/>
      <c r="S125" s="180">
        <f t="shared" si="189"/>
        <v>94.51846605809709</v>
      </c>
      <c r="T125" s="180">
        <f t="shared" si="190"/>
        <v>15</v>
      </c>
      <c r="U125" s="225">
        <f t="shared" si="191"/>
        <v>0.31264637002341922</v>
      </c>
      <c r="V125" s="225">
        <f t="shared" si="192"/>
        <v>1.7865506858481099</v>
      </c>
      <c r="W125" s="225">
        <f t="shared" si="193"/>
        <v>0.820056052520444</v>
      </c>
      <c r="X125" s="205">
        <f t="shared" si="194"/>
        <v>350</v>
      </c>
      <c r="Y125" s="456">
        <f t="shared" si="195"/>
        <v>350</v>
      </c>
      <c r="AA125" s="225">
        <f t="shared" si="196"/>
        <v>0.34269662921348309</v>
      </c>
      <c r="AB125" s="181">
        <f t="shared" si="197"/>
        <v>0.89887640449438189</v>
      </c>
      <c r="AC125" s="181">
        <f t="shared" si="198"/>
        <v>5.3907334932458008E-2</v>
      </c>
      <c r="AD125" s="181"/>
      <c r="AE125" s="181">
        <f t="shared" si="199"/>
        <v>0.76065573770491812</v>
      </c>
      <c r="AF125" s="565">
        <f t="shared" si="200"/>
        <v>407.99643281807374</v>
      </c>
      <c r="AG125" s="548">
        <f t="shared" si="201"/>
        <v>3.8603278688524589E-2</v>
      </c>
      <c r="AI125" s="181">
        <f t="shared" si="202"/>
        <v>0.31310655420433836</v>
      </c>
      <c r="AJ125" s="181">
        <f t="shared" si="203"/>
        <v>0.31310655420433836</v>
      </c>
      <c r="AK125" s="181">
        <f t="shared" si="204"/>
        <v>1.2171159660772877</v>
      </c>
      <c r="AM125" s="565">
        <f t="shared" si="205"/>
        <v>45</v>
      </c>
      <c r="AN125" s="474">
        <f t="shared" si="206"/>
        <v>350</v>
      </c>
      <c r="AP125" s="474">
        <f t="shared" si="207"/>
        <v>45</v>
      </c>
      <c r="AQ125" s="474">
        <f t="shared" si="208"/>
        <v>350</v>
      </c>
      <c r="AS125" s="6">
        <f t="shared" si="158"/>
        <v>2.8571428571428572</v>
      </c>
      <c r="AT125" s="6">
        <f t="shared" si="209"/>
        <v>1.7891803097390764</v>
      </c>
      <c r="AU125" s="6">
        <f t="shared" si="210"/>
        <v>1.0679625474037808</v>
      </c>
      <c r="AV125" s="6"/>
      <c r="AW125" s="181">
        <f t="shared" si="211"/>
        <v>0.62621310840867672</v>
      </c>
      <c r="AX125" s="181">
        <f t="shared" si="138"/>
        <v>0.68625000000000003</v>
      </c>
      <c r="AY125" s="181">
        <f t="shared" si="139"/>
        <v>5.8517562816454906E-2</v>
      </c>
      <c r="AZ125" s="181">
        <f t="shared" si="161"/>
        <v>11.727248486962434</v>
      </c>
      <c r="BD125" s="181">
        <f t="shared" si="162"/>
        <v>0.1430515634050907</v>
      </c>
      <c r="BE125" s="181">
        <f t="shared" si="142"/>
        <v>0.11052068419952323</v>
      </c>
      <c r="BG125" s="548">
        <f t="shared" si="212"/>
        <v>7.1623124274242398E-3</v>
      </c>
      <c r="BH125" s="548">
        <f t="shared" si="213"/>
        <v>2.4383172908662851E-2</v>
      </c>
      <c r="BI125" s="548">
        <f t="shared" si="214"/>
        <v>4.3749999999999995E-3</v>
      </c>
      <c r="BJ125" s="548">
        <f t="shared" si="215"/>
        <v>9.9631328124999991E-3</v>
      </c>
      <c r="BK125">
        <f t="shared" si="216"/>
        <v>2.0300000000000001E-3</v>
      </c>
      <c r="BL125" s="474">
        <f t="shared" si="217"/>
        <v>47.913618148587084</v>
      </c>
      <c r="BM125" s="548">
        <f t="shared" si="218"/>
        <v>1.575E-2</v>
      </c>
      <c r="BP125" s="474">
        <f t="shared" si="219"/>
        <v>15.75</v>
      </c>
      <c r="BQ125" s="548">
        <f t="shared" si="220"/>
        <v>0</v>
      </c>
      <c r="BR125" s="548">
        <f t="shared" si="221"/>
        <v>0</v>
      </c>
      <c r="BS125" s="548">
        <f t="shared" si="222"/>
        <v>6.2859440628949973E-3</v>
      </c>
      <c r="BT125" s="548">
        <f t="shared" si="223"/>
        <v>3.6028125000000001E-2</v>
      </c>
      <c r="BU125" s="474">
        <f t="shared" si="224"/>
        <v>42.314069062894994</v>
      </c>
      <c r="BV125" s="181">
        <f t="shared" si="225"/>
        <v>0.1059776872114821</v>
      </c>
      <c r="BW125" s="6">
        <f t="shared" si="226"/>
        <v>0.67499999999999993</v>
      </c>
      <c r="BX125" s="181">
        <f t="shared" si="227"/>
        <v>0.8643012611667813</v>
      </c>
      <c r="BY125" s="6">
        <f t="shared" si="228"/>
        <v>86.430126116678125</v>
      </c>
      <c r="CB125" s="583">
        <f t="shared" si="229"/>
        <v>-50</v>
      </c>
      <c r="CC125">
        <f t="shared" si="230"/>
        <v>-50</v>
      </c>
    </row>
    <row r="126" spans="5:81" x14ac:dyDescent="0.2">
      <c r="E126" s="178">
        <v>16</v>
      </c>
      <c r="F126" s="225">
        <f t="shared" si="231"/>
        <v>4.8000000000000001E-2</v>
      </c>
      <c r="G126" s="225"/>
      <c r="H126" s="225">
        <f t="shared" si="182"/>
        <v>0.72</v>
      </c>
      <c r="I126" s="561">
        <f t="shared" si="183"/>
        <v>7</v>
      </c>
      <c r="J126" s="456">
        <f t="shared" si="184"/>
        <v>15.25</v>
      </c>
      <c r="K126" s="456">
        <f t="shared" si="185"/>
        <v>22.25</v>
      </c>
      <c r="L126" s="456"/>
      <c r="M126" s="225">
        <f t="shared" si="186"/>
        <v>0.6853932584269663</v>
      </c>
      <c r="N126" s="180">
        <f t="shared" si="232"/>
        <v>3.1305337078651685</v>
      </c>
      <c r="O126" s="180">
        <f t="shared" si="156"/>
        <v>0.72</v>
      </c>
      <c r="P126" s="225">
        <f t="shared" si="187"/>
        <v>0.20870224719101124</v>
      </c>
      <c r="Q126" s="225">
        <f t="shared" si="188"/>
        <v>15</v>
      </c>
      <c r="R126" s="225"/>
      <c r="S126" s="180">
        <f t="shared" si="189"/>
        <v>88.176040550262243</v>
      </c>
      <c r="T126" s="180">
        <f t="shared" si="190"/>
        <v>15</v>
      </c>
      <c r="U126" s="225">
        <f t="shared" si="191"/>
        <v>0.33348946135831381</v>
      </c>
      <c r="V126" s="225">
        <f t="shared" si="192"/>
        <v>1.9056540649046505</v>
      </c>
      <c r="W126" s="225">
        <f t="shared" si="193"/>
        <v>0.87472645602180676</v>
      </c>
      <c r="X126" s="205">
        <f t="shared" si="194"/>
        <v>350</v>
      </c>
      <c r="Y126" s="456">
        <f t="shared" si="195"/>
        <v>350</v>
      </c>
      <c r="AA126" s="225">
        <f t="shared" si="196"/>
        <v>0.34269662921348309</v>
      </c>
      <c r="AB126" s="181">
        <f t="shared" si="197"/>
        <v>0.89887640449438189</v>
      </c>
      <c r="AC126" s="181">
        <f t="shared" si="198"/>
        <v>5.3907334932458008E-2</v>
      </c>
      <c r="AD126" s="181"/>
      <c r="AE126" s="181">
        <f t="shared" si="199"/>
        <v>0.76065573770491812</v>
      </c>
      <c r="AF126" s="565">
        <f t="shared" si="200"/>
        <v>435.1961950059453</v>
      </c>
      <c r="AG126" s="548">
        <f t="shared" si="201"/>
        <v>3.8603278688524589E-2</v>
      </c>
      <c r="AI126" s="181">
        <f t="shared" si="202"/>
        <v>0.32337505867247796</v>
      </c>
      <c r="AJ126" s="181">
        <f t="shared" si="203"/>
        <v>0.32337505867247796</v>
      </c>
      <c r="AK126" s="181">
        <f t="shared" si="204"/>
        <v>1.224722265683317</v>
      </c>
      <c r="AM126" s="565">
        <f t="shared" si="205"/>
        <v>48</v>
      </c>
      <c r="AN126" s="474">
        <f t="shared" si="206"/>
        <v>350</v>
      </c>
      <c r="AP126" s="474">
        <f t="shared" si="207"/>
        <v>48</v>
      </c>
      <c r="AQ126" s="474">
        <f t="shared" si="208"/>
        <v>350</v>
      </c>
      <c r="AS126" s="6">
        <f t="shared" si="158"/>
        <v>2.8571428571428572</v>
      </c>
      <c r="AT126" s="6">
        <f t="shared" si="209"/>
        <v>1.8478574781284456</v>
      </c>
      <c r="AU126" s="6">
        <f t="shared" si="210"/>
        <v>1.0092853790144116</v>
      </c>
      <c r="AV126" s="6"/>
      <c r="AW126" s="181">
        <f t="shared" si="211"/>
        <v>0.64675011734495591</v>
      </c>
      <c r="AX126" s="181">
        <f t="shared" si="138"/>
        <v>0.73199999999999998</v>
      </c>
      <c r="AY126" s="181">
        <f t="shared" si="139"/>
        <v>5.7116100764810419E-2</v>
      </c>
      <c r="AZ126" s="181">
        <f t="shared" si="161"/>
        <v>12.816000920899517</v>
      </c>
      <c r="BD126" s="181">
        <f t="shared" si="162"/>
        <v>0.15014613292778151</v>
      </c>
      <c r="BE126" s="181">
        <f t="shared" si="142"/>
        <v>0.11096522709378745</v>
      </c>
      <c r="BG126" s="548">
        <f t="shared" si="212"/>
        <v>7.8903514316084611E-3</v>
      </c>
      <c r="BH126" s="548">
        <f t="shared" si="213"/>
        <v>2.5182832694119219E-2</v>
      </c>
      <c r="BI126" s="548">
        <f t="shared" si="214"/>
        <v>4.3749999999999995E-3</v>
      </c>
      <c r="BJ126" s="548">
        <f t="shared" si="215"/>
        <v>9.9631328124999991E-3</v>
      </c>
      <c r="BK126">
        <f t="shared" si="216"/>
        <v>2.0300000000000001E-3</v>
      </c>
      <c r="BL126" s="474">
        <f t="shared" si="217"/>
        <v>49.441316938227672</v>
      </c>
      <c r="BM126" s="548">
        <f t="shared" si="218"/>
        <v>1.6799999999999999E-2</v>
      </c>
      <c r="BP126" s="474">
        <f t="shared" si="219"/>
        <v>16.8</v>
      </c>
      <c r="BQ126" s="548">
        <f t="shared" si="220"/>
        <v>0</v>
      </c>
      <c r="BR126" s="548">
        <f t="shared" si="221"/>
        <v>0</v>
      </c>
      <c r="BS126" s="548">
        <f t="shared" si="222"/>
        <v>6.8140672670400412E-3</v>
      </c>
      <c r="BT126" s="548">
        <f t="shared" si="223"/>
        <v>3.8430000000000006E-2</v>
      </c>
      <c r="BU126" s="474">
        <f t="shared" si="224"/>
        <v>45.244067267040052</v>
      </c>
      <c r="BV126" s="181">
        <f t="shared" si="225"/>
        <v>0.11148538420526771</v>
      </c>
      <c r="BW126" s="6">
        <f t="shared" si="226"/>
        <v>0.72</v>
      </c>
      <c r="BX126" s="181">
        <f t="shared" si="227"/>
        <v>0.86592021180044532</v>
      </c>
      <c r="BY126" s="6">
        <f t="shared" si="228"/>
        <v>86.592021180044526</v>
      </c>
      <c r="CB126" s="583">
        <f t="shared" si="229"/>
        <v>-50</v>
      </c>
      <c r="CC126">
        <f t="shared" si="230"/>
        <v>-50</v>
      </c>
    </row>
    <row r="127" spans="5:81" x14ac:dyDescent="0.2">
      <c r="E127" s="178">
        <v>17</v>
      </c>
      <c r="F127" s="225">
        <f t="shared" si="231"/>
        <v>5.1000000000000004E-2</v>
      </c>
      <c r="G127" s="225"/>
      <c r="H127" s="225">
        <f t="shared" si="182"/>
        <v>0.76500000000000001</v>
      </c>
      <c r="I127" s="561">
        <f t="shared" si="183"/>
        <v>7</v>
      </c>
      <c r="J127" s="456">
        <f t="shared" si="184"/>
        <v>15.25</v>
      </c>
      <c r="K127" s="456">
        <f t="shared" si="185"/>
        <v>22.25</v>
      </c>
      <c r="L127" s="456"/>
      <c r="M127" s="225">
        <f t="shared" si="186"/>
        <v>0.6853932584269663</v>
      </c>
      <c r="N127" s="180">
        <f t="shared" si="232"/>
        <v>3.1305337078651685</v>
      </c>
      <c r="O127" s="180">
        <f t="shared" si="156"/>
        <v>0.76500000000000001</v>
      </c>
      <c r="P127" s="225">
        <f t="shared" si="187"/>
        <v>0.20870224719101124</v>
      </c>
      <c r="Q127" s="225">
        <f t="shared" si="188"/>
        <v>15</v>
      </c>
      <c r="R127" s="225"/>
      <c r="S127" s="180">
        <f t="shared" si="189"/>
        <v>82.57995115264039</v>
      </c>
      <c r="T127" s="180">
        <f t="shared" si="190"/>
        <v>15</v>
      </c>
      <c r="U127" s="225">
        <f t="shared" si="191"/>
        <v>0.35433255269320846</v>
      </c>
      <c r="V127" s="225">
        <f t="shared" si="192"/>
        <v>2.0247574439611915</v>
      </c>
      <c r="W127" s="225">
        <f t="shared" si="193"/>
        <v>0.92939685952316975</v>
      </c>
      <c r="X127" s="205">
        <f t="shared" si="194"/>
        <v>350</v>
      </c>
      <c r="Y127" s="456">
        <f t="shared" si="195"/>
        <v>338.50635317881722</v>
      </c>
      <c r="AA127" s="225">
        <f t="shared" si="196"/>
        <v>0.34269662921348309</v>
      </c>
      <c r="AB127" s="181">
        <f t="shared" si="197"/>
        <v>0.89887640449438189</v>
      </c>
      <c r="AC127" s="181">
        <f t="shared" si="198"/>
        <v>5.3907334932458008E-2</v>
      </c>
      <c r="AD127" s="181"/>
      <c r="AE127" s="181">
        <f t="shared" si="199"/>
        <v>0.76065573770491812</v>
      </c>
      <c r="AF127" s="565">
        <f t="shared" si="200"/>
        <v>462.39595719381691</v>
      </c>
      <c r="AG127" s="548">
        <f t="shared" si="201"/>
        <v>3.8603278688524589E-2</v>
      </c>
      <c r="AI127" s="181">
        <f t="shared" si="202"/>
        <v>0.33332738089923375</v>
      </c>
      <c r="AJ127" s="181">
        <f t="shared" si="203"/>
        <v>0.33332738089923375</v>
      </c>
      <c r="AK127" s="181">
        <f t="shared" si="204"/>
        <v>1.2320943562216546</v>
      </c>
      <c r="AM127" s="565">
        <f t="shared" si="205"/>
        <v>51.000000000000007</v>
      </c>
      <c r="AN127" s="474">
        <f t="shared" si="206"/>
        <v>338.50635317881722</v>
      </c>
      <c r="AP127" s="474">
        <f t="shared" si="207"/>
        <v>51.000000000000007</v>
      </c>
      <c r="AQ127" s="474">
        <f t="shared" si="208"/>
        <v>338.50635317881722</v>
      </c>
      <c r="AS127" s="6">
        <f t="shared" si="158"/>
        <v>2.9541543034843616</v>
      </c>
      <c r="AT127" s="6">
        <f t="shared" si="209"/>
        <v>1.9047278908527645</v>
      </c>
      <c r="AU127" s="6">
        <f t="shared" si="210"/>
        <v>1.0494264126315971</v>
      </c>
      <c r="AV127" s="6"/>
      <c r="AW127" s="181">
        <f t="shared" si="211"/>
        <v>0.64476249213054948</v>
      </c>
      <c r="AX127" s="181">
        <f t="shared" si="138"/>
        <v>0.75220947481378608</v>
      </c>
      <c r="AY127" s="181">
        <f t="shared" si="139"/>
        <v>5.9205194047647437E-2</v>
      </c>
      <c r="AZ127" s="181">
        <f t="shared" si="161"/>
        <v>12.705126415233423</v>
      </c>
      <c r="BD127" s="181">
        <f t="shared" si="162"/>
        <v>0.15452908930260392</v>
      </c>
      <c r="BE127" s="181">
        <f t="shared" si="142"/>
        <v>0.11470167760334699</v>
      </c>
      <c r="BG127" s="548">
        <f t="shared" si="212"/>
        <v>8.3577338042422483E-3</v>
      </c>
      <c r="BH127" s="548">
        <f t="shared" si="213"/>
        <v>2.5105439537333275E-2</v>
      </c>
      <c r="BI127" s="548">
        <f t="shared" si="214"/>
        <v>4.2313294147352147E-3</v>
      </c>
      <c r="BJ127" s="548">
        <f t="shared" si="215"/>
        <v>9.6359535845588207E-3</v>
      </c>
      <c r="BK127">
        <f t="shared" si="216"/>
        <v>2.0300000000000001E-3</v>
      </c>
      <c r="BL127" s="474">
        <f t="shared" si="217"/>
        <v>49.360456340869561</v>
      </c>
      <c r="BM127" s="548">
        <f t="shared" si="218"/>
        <v>1.7850000000000001E-2</v>
      </c>
      <c r="BP127" s="474">
        <f t="shared" si="219"/>
        <v>17.850000000000001</v>
      </c>
      <c r="BQ127" s="548">
        <f t="shared" si="220"/>
        <v>0</v>
      </c>
      <c r="BR127" s="548">
        <f t="shared" si="221"/>
        <v>0</v>
      </c>
      <c r="BS127" s="548">
        <f t="shared" si="222"/>
        <v>6.7618345348772592E-3</v>
      </c>
      <c r="BT127" s="548">
        <f t="shared" si="223"/>
        <v>3.9490997427723773E-2</v>
      </c>
      <c r="BU127" s="474">
        <f t="shared" si="224"/>
        <v>46.252831962601036</v>
      </c>
      <c r="BV127" s="181">
        <f t="shared" si="225"/>
        <v>0.11346328830347059</v>
      </c>
      <c r="BW127" s="6">
        <f t="shared" si="226"/>
        <v>0.76500000000000001</v>
      </c>
      <c r="BX127" s="181">
        <f t="shared" si="227"/>
        <v>0.87083889581476281</v>
      </c>
      <c r="BY127" s="6">
        <f t="shared" si="228"/>
        <v>87.083889581476285</v>
      </c>
      <c r="CB127" s="583">
        <f t="shared" si="229"/>
        <v>-50</v>
      </c>
      <c r="CC127">
        <f t="shared" si="230"/>
        <v>-50</v>
      </c>
    </row>
    <row r="128" spans="5:81" x14ac:dyDescent="0.2">
      <c r="E128" s="178">
        <v>18</v>
      </c>
      <c r="F128" s="225">
        <f t="shared" si="231"/>
        <v>5.3999999999999999E-2</v>
      </c>
      <c r="G128" s="225"/>
      <c r="H128" s="225">
        <f t="shared" si="182"/>
        <v>0.80999999999999994</v>
      </c>
      <c r="I128" s="561">
        <f t="shared" si="183"/>
        <v>7</v>
      </c>
      <c r="J128" s="456">
        <f t="shared" si="184"/>
        <v>15.25</v>
      </c>
      <c r="K128" s="456">
        <f t="shared" si="185"/>
        <v>22.25</v>
      </c>
      <c r="L128" s="456"/>
      <c r="M128" s="225">
        <f t="shared" si="186"/>
        <v>0.6853932584269663</v>
      </c>
      <c r="N128" s="180">
        <f t="shared" si="232"/>
        <v>3.1305337078651685</v>
      </c>
      <c r="O128" s="180">
        <f t="shared" si="156"/>
        <v>0.80999999999999994</v>
      </c>
      <c r="P128" s="225">
        <f t="shared" si="187"/>
        <v>0.20870224719101124</v>
      </c>
      <c r="Q128" s="225">
        <f t="shared" si="188"/>
        <v>15</v>
      </c>
      <c r="R128" s="225"/>
      <c r="S128" s="180">
        <f t="shared" si="189"/>
        <v>77.605810782125147</v>
      </c>
      <c r="T128" s="180">
        <f t="shared" si="190"/>
        <v>15</v>
      </c>
      <c r="U128" s="225">
        <f t="shared" si="191"/>
        <v>0.37517564402810305</v>
      </c>
      <c r="V128" s="225">
        <f t="shared" si="192"/>
        <v>2.1438608230177318</v>
      </c>
      <c r="W128" s="225">
        <f t="shared" si="193"/>
        <v>0.98406726302453285</v>
      </c>
      <c r="X128" s="205">
        <f t="shared" si="194"/>
        <v>350</v>
      </c>
      <c r="Y128" s="456">
        <f t="shared" si="195"/>
        <v>319.70044466888299</v>
      </c>
      <c r="AA128" s="225">
        <f t="shared" si="196"/>
        <v>0.34269662921348309</v>
      </c>
      <c r="AB128" s="181">
        <f t="shared" si="197"/>
        <v>0.89887640449438189</v>
      </c>
      <c r="AC128" s="181">
        <f t="shared" si="198"/>
        <v>5.3907334932458008E-2</v>
      </c>
      <c r="AD128" s="181"/>
      <c r="AE128" s="181">
        <f t="shared" si="199"/>
        <v>0.76065573770491812</v>
      </c>
      <c r="AF128" s="565">
        <f t="shared" si="200"/>
        <v>489.59571938168847</v>
      </c>
      <c r="AG128" s="548">
        <f t="shared" si="201"/>
        <v>3.8603278688524589E-2</v>
      </c>
      <c r="AI128" s="181">
        <f t="shared" si="202"/>
        <v>0.34299104528086027</v>
      </c>
      <c r="AJ128" s="181">
        <f t="shared" si="203"/>
        <v>0.37517564402810305</v>
      </c>
      <c r="AK128" s="181">
        <f t="shared" si="204"/>
        <v>1.2630930696504468</v>
      </c>
      <c r="AM128" s="565">
        <f t="shared" si="205"/>
        <v>54</v>
      </c>
      <c r="AN128" s="474">
        <f t="shared" si="206"/>
        <v>319.70044466888299</v>
      </c>
      <c r="AP128" s="474">
        <f t="shared" si="207"/>
        <v>54</v>
      </c>
      <c r="AQ128" s="474">
        <f t="shared" si="208"/>
        <v>319.70044466888299</v>
      </c>
      <c r="AS128" s="6">
        <f t="shared" si="158"/>
        <v>3.1279280860422642</v>
      </c>
      <c r="AT128" s="6">
        <f t="shared" si="209"/>
        <v>2.1438608230177318</v>
      </c>
      <c r="AU128" s="6">
        <f t="shared" si="210"/>
        <v>0.9840672630245324</v>
      </c>
      <c r="AV128" s="6"/>
      <c r="AW128" s="181">
        <f t="shared" si="211"/>
        <v>0.6853932584269663</v>
      </c>
      <c r="AX128" s="181">
        <f t="shared" si="138"/>
        <v>0.9</v>
      </c>
      <c r="AY128" s="181">
        <f t="shared" si="139"/>
        <v>5.9016393442622953E-2</v>
      </c>
      <c r="AZ128" s="181">
        <f t="shared" si="161"/>
        <v>15.25</v>
      </c>
      <c r="BD128" s="181">
        <f t="shared" si="162"/>
        <v>0.17932627343829452</v>
      </c>
      <c r="BE128" s="181">
        <f t="shared" si="142"/>
        <v>0.12149489267194728</v>
      </c>
      <c r="BG128" s="548">
        <f t="shared" si="212"/>
        <v>1.125526932084309E-2</v>
      </c>
      <c r="BH128" s="548">
        <f t="shared" si="213"/>
        <v>2.6687499999999999E-2</v>
      </c>
      <c r="BI128" s="548">
        <f t="shared" si="214"/>
        <v>3.9962555583610369E-3</v>
      </c>
      <c r="BJ128" s="548">
        <f t="shared" si="215"/>
        <v>9.1006228298611096E-3</v>
      </c>
      <c r="BK128">
        <f t="shared" si="216"/>
        <v>2.0300000000000001E-3</v>
      </c>
      <c r="BL128" s="474">
        <f t="shared" si="217"/>
        <v>53.069647709065229</v>
      </c>
      <c r="BM128" s="548">
        <f t="shared" si="218"/>
        <v>1.89E-2</v>
      </c>
      <c r="BP128" s="474">
        <f t="shared" si="219"/>
        <v>18.899999999999999</v>
      </c>
      <c r="BQ128" s="548">
        <f t="shared" si="220"/>
        <v>0</v>
      </c>
      <c r="BR128" s="548">
        <f t="shared" si="221"/>
        <v>0</v>
      </c>
      <c r="BS128" s="548">
        <f t="shared" si="222"/>
        <v>7.877976790082274E-3</v>
      </c>
      <c r="BT128" s="548">
        <f t="shared" si="223"/>
        <v>4.725E-2</v>
      </c>
      <c r="BU128" s="474">
        <f t="shared" si="224"/>
        <v>55.127976790082272</v>
      </c>
      <c r="BV128" s="181">
        <f t="shared" si="225"/>
        <v>0.12709762449914749</v>
      </c>
      <c r="BW128" s="6">
        <f t="shared" si="226"/>
        <v>0.80999999999999994</v>
      </c>
      <c r="BX128" s="181">
        <f t="shared" si="227"/>
        <v>0.86437098849004379</v>
      </c>
      <c r="BY128" s="6">
        <f t="shared" si="228"/>
        <v>86.437098849004386</v>
      </c>
      <c r="CB128" s="583">
        <f t="shared" si="229"/>
        <v>-50</v>
      </c>
      <c r="CC128">
        <f t="shared" si="230"/>
        <v>-50</v>
      </c>
    </row>
    <row r="129" spans="5:81" x14ac:dyDescent="0.2">
      <c r="E129" s="178">
        <v>19</v>
      </c>
      <c r="F129" s="225">
        <f t="shared" si="231"/>
        <v>5.6999999999999995E-2</v>
      </c>
      <c r="G129" s="225"/>
      <c r="H129" s="225">
        <f t="shared" si="182"/>
        <v>0.85499999999999998</v>
      </c>
      <c r="I129" s="561">
        <f t="shared" si="183"/>
        <v>7</v>
      </c>
      <c r="J129" s="456">
        <f t="shared" si="184"/>
        <v>15.25</v>
      </c>
      <c r="K129" s="456">
        <f t="shared" si="185"/>
        <v>22.25</v>
      </c>
      <c r="L129" s="456"/>
      <c r="M129" s="225">
        <f t="shared" si="186"/>
        <v>0.6853932584269663</v>
      </c>
      <c r="N129" s="180">
        <f t="shared" si="232"/>
        <v>3.1305337078651685</v>
      </c>
      <c r="O129" s="180">
        <f t="shared" si="156"/>
        <v>0.85499999999999998</v>
      </c>
      <c r="P129" s="225">
        <f t="shared" si="187"/>
        <v>0.20870224719101124</v>
      </c>
      <c r="Q129" s="225">
        <f t="shared" si="188"/>
        <v>15</v>
      </c>
      <c r="R129" s="225"/>
      <c r="S129" s="180">
        <f t="shared" si="189"/>
        <v>73.155419149090406</v>
      </c>
      <c r="T129" s="180">
        <f t="shared" si="190"/>
        <v>15</v>
      </c>
      <c r="U129" s="225">
        <f t="shared" si="191"/>
        <v>0.3960187353629977</v>
      </c>
      <c r="V129" s="225">
        <f t="shared" si="192"/>
        <v>2.2629642020742726</v>
      </c>
      <c r="W129" s="225">
        <f t="shared" si="193"/>
        <v>1.0387376665258956</v>
      </c>
      <c r="X129" s="205">
        <f t="shared" si="194"/>
        <v>350</v>
      </c>
      <c r="Y129" s="456">
        <f t="shared" si="195"/>
        <v>302.87410547578384</v>
      </c>
      <c r="AA129" s="225">
        <f t="shared" si="196"/>
        <v>0.34269662921348309</v>
      </c>
      <c r="AB129" s="181">
        <f t="shared" si="197"/>
        <v>0.89887640449438189</v>
      </c>
      <c r="AC129" s="181">
        <f t="shared" si="198"/>
        <v>5.3907334932458008E-2</v>
      </c>
      <c r="AD129" s="181"/>
      <c r="AE129" s="181">
        <f t="shared" si="199"/>
        <v>0.76065573770491812</v>
      </c>
      <c r="AF129" s="565">
        <f t="shared" si="200"/>
        <v>516.79548156956002</v>
      </c>
      <c r="AG129" s="548">
        <f t="shared" si="201"/>
        <v>3.8603278688524589E-2</v>
      </c>
      <c r="AI129" s="181">
        <f t="shared" si="202"/>
        <v>0.35238980040371687</v>
      </c>
      <c r="AJ129" s="181">
        <f t="shared" si="203"/>
        <v>0.3960187353629977</v>
      </c>
      <c r="AK129" s="181">
        <f t="shared" si="204"/>
        <v>1.2785323965651834</v>
      </c>
      <c r="AM129" s="565">
        <f t="shared" si="205"/>
        <v>56.999999999999993</v>
      </c>
      <c r="AN129" s="474">
        <f t="shared" si="206"/>
        <v>302.87410547578384</v>
      </c>
      <c r="AP129" s="474">
        <f t="shared" si="207"/>
        <v>56.999999999999993</v>
      </c>
      <c r="AQ129" s="474">
        <f t="shared" si="208"/>
        <v>302.87410547578384</v>
      </c>
      <c r="AS129" s="6">
        <f t="shared" si="158"/>
        <v>3.3017018686001687</v>
      </c>
      <c r="AT129" s="6">
        <f t="shared" si="209"/>
        <v>2.2629642020742726</v>
      </c>
      <c r="AU129" s="6">
        <f t="shared" si="210"/>
        <v>1.0387376665258961</v>
      </c>
      <c r="AV129" s="6"/>
      <c r="AW129" s="181">
        <f t="shared" si="211"/>
        <v>0.68539325842696619</v>
      </c>
      <c r="AX129" s="181">
        <f t="shared" si="138"/>
        <v>0.95000000000000018</v>
      </c>
      <c r="AY129" s="181">
        <f t="shared" si="139"/>
        <v>6.2295081967213138E-2</v>
      </c>
      <c r="AZ129" s="181">
        <f t="shared" si="161"/>
        <v>15.249999999999996</v>
      </c>
      <c r="BD129" s="181">
        <f t="shared" si="162"/>
        <v>0.18928884418486647</v>
      </c>
      <c r="BE129" s="181">
        <f t="shared" si="142"/>
        <v>0.12824460893149994</v>
      </c>
      <c r="BG129" s="548">
        <f t="shared" si="212"/>
        <v>1.2540593286494929E-2</v>
      </c>
      <c r="BH129" s="548">
        <f t="shared" si="213"/>
        <v>2.6687499999999996E-2</v>
      </c>
      <c r="BI129" s="548">
        <f t="shared" si="214"/>
        <v>3.7859263184472978E-3</v>
      </c>
      <c r="BJ129" s="548">
        <f t="shared" si="215"/>
        <v>8.621642680921051E-3</v>
      </c>
      <c r="BK129">
        <f t="shared" si="216"/>
        <v>2.0300000000000001E-3</v>
      </c>
      <c r="BL129" s="474">
        <f t="shared" si="217"/>
        <v>53.66566228586327</v>
      </c>
      <c r="BM129" s="548">
        <f t="shared" si="218"/>
        <v>1.9949999999999996E-2</v>
      </c>
      <c r="BP129" s="474">
        <f t="shared" si="219"/>
        <v>19.949999999999996</v>
      </c>
      <c r="BQ129" s="548">
        <f t="shared" si="220"/>
        <v>0</v>
      </c>
      <c r="BR129" s="548">
        <f t="shared" si="221"/>
        <v>0</v>
      </c>
      <c r="BS129" s="548">
        <f t="shared" si="222"/>
        <v>7.8779767900822861E-3</v>
      </c>
      <c r="BT129" s="548">
        <f t="shared" si="223"/>
        <v>4.987500000000001E-2</v>
      </c>
      <c r="BU129" s="474">
        <f t="shared" si="224"/>
        <v>57.752976790082293</v>
      </c>
      <c r="BV129" s="181">
        <f t="shared" si="225"/>
        <v>0.13136863907594556</v>
      </c>
      <c r="BW129" s="6">
        <f t="shared" si="226"/>
        <v>0.85499999999999998</v>
      </c>
      <c r="BX129" s="181">
        <f t="shared" si="227"/>
        <v>0.86681588011657085</v>
      </c>
      <c r="BY129" s="6">
        <f t="shared" si="228"/>
        <v>86.681588011657084</v>
      </c>
      <c r="CB129" s="583">
        <f t="shared" si="229"/>
        <v>-50</v>
      </c>
      <c r="CC129">
        <f t="shared" si="230"/>
        <v>-50</v>
      </c>
    </row>
    <row r="130" spans="5:81" x14ac:dyDescent="0.2">
      <c r="E130" s="178">
        <v>20</v>
      </c>
      <c r="F130" s="225">
        <f t="shared" si="231"/>
        <v>0.06</v>
      </c>
      <c r="G130" s="225"/>
      <c r="H130" s="225">
        <f t="shared" si="182"/>
        <v>0.89999999999999991</v>
      </c>
      <c r="I130" s="561">
        <f t="shared" si="183"/>
        <v>7</v>
      </c>
      <c r="J130" s="456">
        <f t="shared" si="184"/>
        <v>15.25</v>
      </c>
      <c r="K130" s="456">
        <f t="shared" si="185"/>
        <v>22.25</v>
      </c>
      <c r="L130" s="456"/>
      <c r="M130" s="225">
        <f t="shared" si="186"/>
        <v>0.6853932584269663</v>
      </c>
      <c r="N130" s="180">
        <f t="shared" si="232"/>
        <v>3.1305337078651685</v>
      </c>
      <c r="O130" s="180">
        <f t="shared" si="156"/>
        <v>0.89999999999999991</v>
      </c>
      <c r="P130" s="225">
        <f t="shared" si="187"/>
        <v>0.20870224719101124</v>
      </c>
      <c r="Q130" s="225">
        <f t="shared" si="188"/>
        <v>15</v>
      </c>
      <c r="R130" s="225"/>
      <c r="S130" s="180">
        <f t="shared" si="189"/>
        <v>69.15021605982453</v>
      </c>
      <c r="T130" s="180">
        <f t="shared" si="190"/>
        <v>15</v>
      </c>
      <c r="U130" s="225">
        <f t="shared" si="191"/>
        <v>0.41686182669789223</v>
      </c>
      <c r="V130" s="225">
        <f t="shared" si="192"/>
        <v>2.3820675811308134</v>
      </c>
      <c r="W130" s="225">
        <f t="shared" si="193"/>
        <v>1.0934080700272584</v>
      </c>
      <c r="X130" s="205">
        <f t="shared" si="194"/>
        <v>350</v>
      </c>
      <c r="Y130" s="456">
        <f t="shared" si="195"/>
        <v>287.73040020199466</v>
      </c>
      <c r="AA130" s="225">
        <f t="shared" si="196"/>
        <v>0.34269662921348309</v>
      </c>
      <c r="AB130" s="181">
        <f t="shared" si="197"/>
        <v>0.89887640449438189</v>
      </c>
      <c r="AC130" s="181">
        <f t="shared" si="198"/>
        <v>5.3907334932458008E-2</v>
      </c>
      <c r="AD130" s="181"/>
      <c r="AE130" s="181">
        <f t="shared" si="199"/>
        <v>0.76065573770491812</v>
      </c>
      <c r="AF130" s="565">
        <f t="shared" si="200"/>
        <v>543.99524375743158</v>
      </c>
      <c r="AG130" s="548">
        <f t="shared" si="201"/>
        <v>3.8603278688524589E-2</v>
      </c>
      <c r="AI130" s="181">
        <f t="shared" si="202"/>
        <v>0.36154430670982179</v>
      </c>
      <c r="AJ130" s="181">
        <f t="shared" si="203"/>
        <v>0.41686182669789223</v>
      </c>
      <c r="AK130" s="181">
        <f t="shared" si="204"/>
        <v>1.2939717234799202</v>
      </c>
      <c r="AM130" s="565">
        <f t="shared" si="205"/>
        <v>60</v>
      </c>
      <c r="AN130" s="474">
        <f t="shared" si="206"/>
        <v>287.73040020199466</v>
      </c>
      <c r="AP130" s="474">
        <f t="shared" si="207"/>
        <v>60</v>
      </c>
      <c r="AQ130" s="474">
        <f t="shared" si="208"/>
        <v>287.73040020199466</v>
      </c>
      <c r="AS130" s="6">
        <f t="shared" si="158"/>
        <v>3.4754756511580718</v>
      </c>
      <c r="AT130" s="6">
        <f t="shared" si="209"/>
        <v>2.3820675811308134</v>
      </c>
      <c r="AU130" s="6">
        <f t="shared" si="210"/>
        <v>1.0934080700272584</v>
      </c>
      <c r="AV130" s="6"/>
      <c r="AW130" s="181">
        <f t="shared" si="211"/>
        <v>0.6853932584269663</v>
      </c>
      <c r="AX130" s="181">
        <f t="shared" si="138"/>
        <v>0.99999999999999978</v>
      </c>
      <c r="AY130" s="181">
        <f t="shared" si="139"/>
        <v>6.5573770491803268E-2</v>
      </c>
      <c r="AZ130" s="181">
        <f t="shared" si="161"/>
        <v>15.249999999999998</v>
      </c>
      <c r="BD130" s="181">
        <f t="shared" si="162"/>
        <v>0.19925141493143833</v>
      </c>
      <c r="BE130" s="181">
        <f t="shared" si="142"/>
        <v>0.13499432519105253</v>
      </c>
      <c r="BG130" s="548">
        <f t="shared" si="212"/>
        <v>1.3895394223263071E-2</v>
      </c>
      <c r="BH130" s="548">
        <f t="shared" si="213"/>
        <v>2.6687499999999996E-2</v>
      </c>
      <c r="BI130" s="548">
        <f t="shared" si="214"/>
        <v>3.5966300025249334E-3</v>
      </c>
      <c r="BJ130" s="548">
        <f t="shared" si="215"/>
        <v>8.1905605468749979E-3</v>
      </c>
      <c r="BK130">
        <f t="shared" si="216"/>
        <v>2.0300000000000001E-3</v>
      </c>
      <c r="BL130" s="474">
        <f t="shared" si="217"/>
        <v>54.400084772663</v>
      </c>
      <c r="BM130" s="548">
        <f t="shared" si="218"/>
        <v>2.0999999999999998E-2</v>
      </c>
      <c r="BP130" s="474">
        <f t="shared" si="219"/>
        <v>20.999999999999996</v>
      </c>
      <c r="BQ130" s="548">
        <f t="shared" si="220"/>
        <v>0</v>
      </c>
      <c r="BR130" s="548">
        <f t="shared" si="221"/>
        <v>0</v>
      </c>
      <c r="BS130" s="548">
        <f t="shared" si="222"/>
        <v>7.8779767900822792E-3</v>
      </c>
      <c r="BT130" s="548">
        <f t="shared" si="223"/>
        <v>5.2499999999999991E-2</v>
      </c>
      <c r="BU130" s="474">
        <f t="shared" si="224"/>
        <v>60.377976790082272</v>
      </c>
      <c r="BV130" s="181">
        <f t="shared" si="225"/>
        <v>0.13577806156274527</v>
      </c>
      <c r="BW130" s="6">
        <f t="shared" si="226"/>
        <v>0.89999999999999991</v>
      </c>
      <c r="BX130" s="181">
        <f t="shared" si="227"/>
        <v>0.86891201252333128</v>
      </c>
      <c r="BY130" s="6">
        <f t="shared" si="228"/>
        <v>86.891201252333133</v>
      </c>
      <c r="CB130" s="583">
        <f t="shared" si="229"/>
        <v>-50</v>
      </c>
      <c r="CC130">
        <f t="shared" si="230"/>
        <v>-50</v>
      </c>
    </row>
    <row r="131" spans="5:81" x14ac:dyDescent="0.2">
      <c r="E131" s="178">
        <v>21</v>
      </c>
      <c r="F131" s="225">
        <f t="shared" si="231"/>
        <v>6.3E-2</v>
      </c>
      <c r="G131" s="225"/>
      <c r="H131" s="225">
        <f t="shared" si="182"/>
        <v>0.94500000000000006</v>
      </c>
      <c r="I131" s="561">
        <f t="shared" si="183"/>
        <v>7</v>
      </c>
      <c r="J131" s="456">
        <f t="shared" si="184"/>
        <v>15.25</v>
      </c>
      <c r="K131" s="456">
        <f t="shared" si="185"/>
        <v>22.25</v>
      </c>
      <c r="L131" s="456"/>
      <c r="M131" s="225">
        <f t="shared" si="186"/>
        <v>0.6853932584269663</v>
      </c>
      <c r="N131" s="180">
        <f t="shared" si="232"/>
        <v>3.1305337078651685</v>
      </c>
      <c r="O131" s="180">
        <f t="shared" si="156"/>
        <v>0.94500000000000006</v>
      </c>
      <c r="P131" s="225">
        <f t="shared" si="187"/>
        <v>0.20870224719101124</v>
      </c>
      <c r="Q131" s="225">
        <f t="shared" si="188"/>
        <v>15</v>
      </c>
      <c r="R131" s="225"/>
      <c r="S131" s="180">
        <f t="shared" si="189"/>
        <v>65.526605204001839</v>
      </c>
      <c r="T131" s="180">
        <f t="shared" si="190"/>
        <v>15</v>
      </c>
      <c r="U131" s="225">
        <f t="shared" si="191"/>
        <v>0.43770491803278694</v>
      </c>
      <c r="V131" s="225">
        <f t="shared" si="192"/>
        <v>2.5011709601873537</v>
      </c>
      <c r="W131" s="225">
        <f t="shared" si="193"/>
        <v>1.1480784735286214</v>
      </c>
      <c r="X131" s="205">
        <f t="shared" si="194"/>
        <v>350</v>
      </c>
      <c r="Y131" s="456">
        <f t="shared" si="195"/>
        <v>274.02895257332824</v>
      </c>
      <c r="AA131" s="225">
        <f t="shared" si="196"/>
        <v>0.34269662921348309</v>
      </c>
      <c r="AB131" s="181">
        <f t="shared" si="197"/>
        <v>0.89887640449438189</v>
      </c>
      <c r="AC131" s="181">
        <f t="shared" si="198"/>
        <v>5.3907334932458008E-2</v>
      </c>
      <c r="AD131" s="181"/>
      <c r="AE131" s="181">
        <f t="shared" si="199"/>
        <v>0.76065573770491812</v>
      </c>
      <c r="AF131" s="565">
        <f t="shared" si="200"/>
        <v>571.19500594530325</v>
      </c>
      <c r="AG131" s="548">
        <f t="shared" si="201"/>
        <v>3.8603278688524589E-2</v>
      </c>
      <c r="AI131" s="181">
        <f t="shared" si="202"/>
        <v>0.37047267105685411</v>
      </c>
      <c r="AJ131" s="181">
        <f t="shared" si="203"/>
        <v>0.43770491803278694</v>
      </c>
      <c r="AK131" s="181">
        <f t="shared" si="204"/>
        <v>1.309411050394657</v>
      </c>
      <c r="AM131" s="565">
        <f t="shared" si="205"/>
        <v>63</v>
      </c>
      <c r="AN131" s="474">
        <f t="shared" si="206"/>
        <v>274.02895257332824</v>
      </c>
      <c r="AP131" s="474">
        <f t="shared" si="207"/>
        <v>63</v>
      </c>
      <c r="AQ131" s="474">
        <f t="shared" si="208"/>
        <v>274.02895257332824</v>
      </c>
      <c r="AS131" s="6">
        <f t="shared" si="158"/>
        <v>3.6492494337159758</v>
      </c>
      <c r="AT131" s="6">
        <f t="shared" si="209"/>
        <v>2.5011709601873537</v>
      </c>
      <c r="AU131" s="6">
        <f t="shared" si="210"/>
        <v>1.148078473528622</v>
      </c>
      <c r="AV131" s="6"/>
      <c r="AW131" s="181">
        <f t="shared" si="211"/>
        <v>0.68539325842696619</v>
      </c>
      <c r="AX131" s="181">
        <f t="shared" si="138"/>
        <v>1.05</v>
      </c>
      <c r="AY131" s="181">
        <f t="shared" si="139"/>
        <v>6.8852459016393475E-2</v>
      </c>
      <c r="AZ131" s="181">
        <f t="shared" si="161"/>
        <v>15.249999999999993</v>
      </c>
      <c r="BD131" s="181">
        <f t="shared" si="162"/>
        <v>0.20921398567801031</v>
      </c>
      <c r="BE131" s="181">
        <f t="shared" si="142"/>
        <v>0.14174404145060521</v>
      </c>
      <c r="BG131" s="548">
        <f t="shared" si="212"/>
        <v>1.5319672131147545E-2</v>
      </c>
      <c r="BH131" s="548">
        <f t="shared" si="213"/>
        <v>2.6687499999999999E-2</v>
      </c>
      <c r="BI131" s="548">
        <f t="shared" si="214"/>
        <v>3.4253619071666027E-3</v>
      </c>
      <c r="BJ131" s="548">
        <f t="shared" si="215"/>
        <v>7.8005338541666655E-3</v>
      </c>
      <c r="BK131">
        <f t="shared" si="216"/>
        <v>2.0300000000000001E-3</v>
      </c>
      <c r="BL131" s="474">
        <f t="shared" si="217"/>
        <v>55.263067892480812</v>
      </c>
      <c r="BM131" s="548">
        <f t="shared" si="218"/>
        <v>2.205E-2</v>
      </c>
      <c r="BP131" s="474">
        <f t="shared" si="219"/>
        <v>22.05</v>
      </c>
      <c r="BQ131" s="548">
        <f t="shared" si="220"/>
        <v>0</v>
      </c>
      <c r="BR131" s="548">
        <f t="shared" si="221"/>
        <v>0</v>
      </c>
      <c r="BS131" s="548">
        <f t="shared" si="222"/>
        <v>7.8779767900822844E-3</v>
      </c>
      <c r="BT131" s="548">
        <f t="shared" si="223"/>
        <v>5.5125000000000007E-2</v>
      </c>
      <c r="BU131" s="474">
        <f t="shared" si="224"/>
        <v>63.002976790082293</v>
      </c>
      <c r="BV131" s="181">
        <f t="shared" si="225"/>
        <v>0.14031604468256309</v>
      </c>
      <c r="BW131" s="6">
        <f t="shared" si="226"/>
        <v>0.94500000000000006</v>
      </c>
      <c r="BX131" s="181">
        <f t="shared" si="227"/>
        <v>0.87071411560712419</v>
      </c>
      <c r="BY131" s="6">
        <f t="shared" si="228"/>
        <v>87.07141156071242</v>
      </c>
      <c r="CB131" s="583">
        <f t="shared" si="229"/>
        <v>-50</v>
      </c>
      <c r="CC131">
        <f t="shared" si="230"/>
        <v>-50</v>
      </c>
    </row>
    <row r="132" spans="5:81" x14ac:dyDescent="0.2">
      <c r="E132" s="178">
        <v>22</v>
      </c>
      <c r="F132" s="225">
        <f t="shared" si="231"/>
        <v>6.6000000000000003E-2</v>
      </c>
      <c r="G132" s="225"/>
      <c r="H132" s="225">
        <f t="shared" si="182"/>
        <v>0.99</v>
      </c>
      <c r="I132" s="561">
        <f t="shared" si="183"/>
        <v>7</v>
      </c>
      <c r="J132" s="456">
        <f t="shared" si="184"/>
        <v>15.25</v>
      </c>
      <c r="K132" s="456">
        <f t="shared" si="185"/>
        <v>22.25</v>
      </c>
      <c r="L132" s="456"/>
      <c r="M132" s="225">
        <f t="shared" si="186"/>
        <v>0.6853932584269663</v>
      </c>
      <c r="N132" s="180">
        <f t="shared" si="232"/>
        <v>3.1305337078651685</v>
      </c>
      <c r="O132" s="180">
        <f t="shared" si="156"/>
        <v>0.99</v>
      </c>
      <c r="P132" s="225">
        <f t="shared" si="187"/>
        <v>0.20870224719101124</v>
      </c>
      <c r="Q132" s="225">
        <f t="shared" si="188"/>
        <v>15</v>
      </c>
      <c r="R132" s="225"/>
      <c r="S132" s="180">
        <f t="shared" si="189"/>
        <v>62.232553272861679</v>
      </c>
      <c r="T132" s="180">
        <f t="shared" si="190"/>
        <v>15</v>
      </c>
      <c r="U132" s="225">
        <f t="shared" si="191"/>
        <v>0.45854800936768153</v>
      </c>
      <c r="V132" s="225">
        <f t="shared" si="192"/>
        <v>2.6202743392438945</v>
      </c>
      <c r="W132" s="225">
        <f t="shared" si="193"/>
        <v>1.2027488770299843</v>
      </c>
      <c r="X132" s="205">
        <f t="shared" si="194"/>
        <v>350</v>
      </c>
      <c r="Y132" s="456">
        <f t="shared" si="195"/>
        <v>261.57309109272239</v>
      </c>
      <c r="AA132" s="225">
        <f t="shared" si="196"/>
        <v>0.34269662921348309</v>
      </c>
      <c r="AB132" s="181">
        <f t="shared" si="197"/>
        <v>0.89887640449438189</v>
      </c>
      <c r="AC132" s="181">
        <f t="shared" si="198"/>
        <v>5.3907334932458008E-2</v>
      </c>
      <c r="AD132" s="181"/>
      <c r="AE132" s="181">
        <f t="shared" si="199"/>
        <v>0.76065573770491812</v>
      </c>
      <c r="AF132" s="565">
        <f t="shared" si="200"/>
        <v>598.39476813317481</v>
      </c>
      <c r="AG132" s="548">
        <f t="shared" si="201"/>
        <v>3.8603278688524589E-2</v>
      </c>
      <c r="AI132" s="181">
        <f t="shared" si="202"/>
        <v>0.37919086788280421</v>
      </c>
      <c r="AJ132" s="181">
        <f t="shared" si="203"/>
        <v>0.45854800936768153</v>
      </c>
      <c r="AK132" s="181">
        <f t="shared" si="204"/>
        <v>1.3248503773093936</v>
      </c>
      <c r="AM132" s="565">
        <f t="shared" si="205"/>
        <v>66</v>
      </c>
      <c r="AN132" s="474">
        <f t="shared" si="206"/>
        <v>261.57309109272239</v>
      </c>
      <c r="AP132" s="474">
        <f t="shared" si="207"/>
        <v>66</v>
      </c>
      <c r="AQ132" s="474">
        <f t="shared" si="208"/>
        <v>261.57309109272239</v>
      </c>
      <c r="AS132" s="6">
        <f t="shared" si="158"/>
        <v>3.8230232162738793</v>
      </c>
      <c r="AT132" s="6">
        <f t="shared" si="209"/>
        <v>2.6202743392438945</v>
      </c>
      <c r="AU132" s="6">
        <f t="shared" si="210"/>
        <v>1.2027488770299848</v>
      </c>
      <c r="AV132" s="6"/>
      <c r="AW132" s="181">
        <f t="shared" si="211"/>
        <v>0.68539325842696619</v>
      </c>
      <c r="AX132" s="181">
        <f t="shared" si="138"/>
        <v>1.1000000000000001</v>
      </c>
      <c r="AY132" s="181">
        <f t="shared" si="139"/>
        <v>7.2131147540983639E-2</v>
      </c>
      <c r="AZ132" s="181">
        <f t="shared" si="161"/>
        <v>15.249999999999995</v>
      </c>
      <c r="BD132" s="181">
        <f t="shared" si="162"/>
        <v>0.2191765564245822</v>
      </c>
      <c r="BE132" s="181">
        <f t="shared" si="142"/>
        <v>0.14849375771015783</v>
      </c>
      <c r="BG132" s="548">
        <f t="shared" si="212"/>
        <v>1.6813427010148322E-2</v>
      </c>
      <c r="BH132" s="548">
        <f t="shared" si="213"/>
        <v>2.6687499999999996E-2</v>
      </c>
      <c r="BI132" s="548">
        <f t="shared" si="214"/>
        <v>3.2696636386590297E-3</v>
      </c>
      <c r="BJ132" s="548">
        <f t="shared" si="215"/>
        <v>7.4459641335227252E-3</v>
      </c>
      <c r="BK132">
        <f t="shared" si="216"/>
        <v>2.0300000000000001E-3</v>
      </c>
      <c r="BL132" s="474">
        <f t="shared" si="217"/>
        <v>56.246554782330072</v>
      </c>
      <c r="BM132" s="548">
        <f t="shared" si="218"/>
        <v>2.3099999999999999E-2</v>
      </c>
      <c r="BP132" s="474">
        <f t="shared" si="219"/>
        <v>23.099999999999998</v>
      </c>
      <c r="BQ132" s="548">
        <f t="shared" si="220"/>
        <v>0</v>
      </c>
      <c r="BR132" s="548">
        <f t="shared" si="221"/>
        <v>0</v>
      </c>
      <c r="BS132" s="548">
        <f t="shared" si="222"/>
        <v>7.8779767900822688E-3</v>
      </c>
      <c r="BT132" s="548">
        <f t="shared" si="223"/>
        <v>5.7750000000000003E-2</v>
      </c>
      <c r="BU132" s="474">
        <f t="shared" si="224"/>
        <v>65.627976790082272</v>
      </c>
      <c r="BV132" s="181">
        <f t="shared" si="225"/>
        <v>0.14497453157241236</v>
      </c>
      <c r="BW132" s="6">
        <f t="shared" si="226"/>
        <v>0.99</v>
      </c>
      <c r="BX132" s="181">
        <f t="shared" si="227"/>
        <v>0.8722662689430023</v>
      </c>
      <c r="BY132" s="6">
        <f t="shared" si="228"/>
        <v>87.226626894300225</v>
      </c>
      <c r="CB132" s="583">
        <f t="shared" si="229"/>
        <v>-50</v>
      </c>
      <c r="CC132">
        <f t="shared" si="230"/>
        <v>-50</v>
      </c>
    </row>
    <row r="133" spans="5:81" x14ac:dyDescent="0.2">
      <c r="E133" s="178">
        <v>23</v>
      </c>
      <c r="F133" s="225">
        <f t="shared" si="231"/>
        <v>6.9000000000000006E-2</v>
      </c>
      <c r="G133" s="225"/>
      <c r="H133" s="225">
        <f t="shared" si="182"/>
        <v>1.0350000000000001</v>
      </c>
      <c r="I133" s="561">
        <f t="shared" si="183"/>
        <v>7</v>
      </c>
      <c r="J133" s="456">
        <f t="shared" si="184"/>
        <v>15.25</v>
      </c>
      <c r="K133" s="456">
        <f t="shared" si="185"/>
        <v>22.25</v>
      </c>
      <c r="L133" s="456"/>
      <c r="M133" s="225">
        <f t="shared" si="186"/>
        <v>0.6853932584269663</v>
      </c>
      <c r="N133" s="180">
        <f t="shared" si="232"/>
        <v>3.1305337078651685</v>
      </c>
      <c r="O133" s="180">
        <f t="shared" si="156"/>
        <v>1.0350000000000001</v>
      </c>
      <c r="P133" s="225">
        <f t="shared" si="187"/>
        <v>0.20870224719101124</v>
      </c>
      <c r="Q133" s="225">
        <f t="shared" si="188"/>
        <v>15</v>
      </c>
      <c r="R133" s="225"/>
      <c r="S133" s="180">
        <f t="shared" si="189"/>
        <v>59.225076263967715</v>
      </c>
      <c r="T133" s="180">
        <f t="shared" si="190"/>
        <v>15</v>
      </c>
      <c r="U133" s="225">
        <f t="shared" si="191"/>
        <v>0.47939110070257623</v>
      </c>
      <c r="V133" s="225">
        <f t="shared" si="192"/>
        <v>2.7393777183004362</v>
      </c>
      <c r="W133" s="225">
        <f t="shared" si="193"/>
        <v>1.2574192805313475</v>
      </c>
      <c r="X133" s="205">
        <f t="shared" si="194"/>
        <v>350</v>
      </c>
      <c r="Y133" s="456">
        <f t="shared" si="195"/>
        <v>250.2003480017344</v>
      </c>
      <c r="AA133" s="225">
        <f t="shared" si="196"/>
        <v>0.34269662921348309</v>
      </c>
      <c r="AB133" s="181">
        <f t="shared" si="197"/>
        <v>0.89887640449438189</v>
      </c>
      <c r="AC133" s="181">
        <f t="shared" si="198"/>
        <v>5.3907334932458008E-2</v>
      </c>
      <c r="AD133" s="181"/>
      <c r="AE133" s="181">
        <f t="shared" si="199"/>
        <v>0.76065573770491812</v>
      </c>
      <c r="AF133" s="565">
        <f t="shared" si="200"/>
        <v>625.59453032104636</v>
      </c>
      <c r="AG133" s="548">
        <f t="shared" si="201"/>
        <v>3.8603278688524589E-2</v>
      </c>
      <c r="AI133" s="181">
        <f t="shared" si="202"/>
        <v>0.38771307505864255</v>
      </c>
      <c r="AJ133" s="181">
        <f t="shared" si="203"/>
        <v>0.47939110070257623</v>
      </c>
      <c r="AK133" s="181">
        <f t="shared" si="204"/>
        <v>1.3402897042241304</v>
      </c>
      <c r="AM133" s="565">
        <f t="shared" si="205"/>
        <v>69</v>
      </c>
      <c r="AN133" s="474">
        <f t="shared" si="206"/>
        <v>250.2003480017344</v>
      </c>
      <c r="AP133" s="474">
        <f t="shared" si="207"/>
        <v>69</v>
      </c>
      <c r="AQ133" s="474">
        <f t="shared" si="208"/>
        <v>250.2003480017344</v>
      </c>
      <c r="AS133" s="6">
        <f t="shared" si="158"/>
        <v>3.9967969988317842</v>
      </c>
      <c r="AT133" s="6">
        <f t="shared" si="209"/>
        <v>2.7393777183004362</v>
      </c>
      <c r="AU133" s="6">
        <f t="shared" si="210"/>
        <v>1.257419280531348</v>
      </c>
      <c r="AV133" s="6"/>
      <c r="AW133" s="181">
        <f t="shared" si="211"/>
        <v>0.6853932584269663</v>
      </c>
      <c r="AX133" s="181">
        <f t="shared" ref="AX133:AX196" si="233">0.5*L*AJ133^2*AN133*1000</f>
        <v>1.1499999999999999</v>
      </c>
      <c r="AY133" s="181">
        <f t="shared" ref="AY133:AY196" si="234">AJ133*Nps/2*(1-AW133)</f>
        <v>7.540983606557379E-2</v>
      </c>
      <c r="AZ133" s="181">
        <f t="shared" si="161"/>
        <v>15.249999999999995</v>
      </c>
      <c r="BD133" s="181">
        <f t="shared" si="162"/>
        <v>0.22913912717115417</v>
      </c>
      <c r="BE133" s="181">
        <f t="shared" ref="BE133:BE196" si="235">AJ133*Nps*SQRT((1-AW133)/3)</f>
        <v>0.15524347396971044</v>
      </c>
      <c r="BG133" s="548">
        <f t="shared" si="212"/>
        <v>1.8376658860265425E-2</v>
      </c>
      <c r="BH133" s="548">
        <f t="shared" si="213"/>
        <v>2.6687499999999996E-2</v>
      </c>
      <c r="BI133" s="548">
        <f t="shared" si="214"/>
        <v>3.1275043500216797E-3</v>
      </c>
      <c r="BJ133" s="548">
        <f t="shared" si="215"/>
        <v>7.122226562499996E-3</v>
      </c>
      <c r="BK133">
        <f t="shared" si="216"/>
        <v>2.0300000000000001E-3</v>
      </c>
      <c r="BL133" s="474">
        <f t="shared" si="217"/>
        <v>57.343889772787094</v>
      </c>
      <c r="BM133" s="548">
        <f t="shared" si="218"/>
        <v>2.4150000000000001E-2</v>
      </c>
      <c r="BP133" s="474">
        <f t="shared" si="219"/>
        <v>24.150000000000002</v>
      </c>
      <c r="BQ133" s="548">
        <f t="shared" si="220"/>
        <v>0</v>
      </c>
      <c r="BR133" s="548">
        <f t="shared" si="221"/>
        <v>0</v>
      </c>
      <c r="BS133" s="548">
        <f t="shared" si="222"/>
        <v>7.8779767900822775E-3</v>
      </c>
      <c r="BT133" s="548">
        <f t="shared" si="223"/>
        <v>6.0375000000000012E-2</v>
      </c>
      <c r="BU133" s="474">
        <f t="shared" si="224"/>
        <v>68.252976790082286</v>
      </c>
      <c r="BV133" s="181">
        <f t="shared" si="225"/>
        <v>0.1497468665628694</v>
      </c>
      <c r="BW133" s="6">
        <f t="shared" si="226"/>
        <v>1.0350000000000001</v>
      </c>
      <c r="BX133" s="181">
        <f t="shared" si="227"/>
        <v>0.87360433626019385</v>
      </c>
      <c r="BY133" s="6">
        <f t="shared" si="228"/>
        <v>87.360433626019386</v>
      </c>
      <c r="CB133" s="583">
        <f t="shared" si="229"/>
        <v>-50</v>
      </c>
      <c r="CC133">
        <f t="shared" si="230"/>
        <v>-50</v>
      </c>
    </row>
    <row r="134" spans="5:81" x14ac:dyDescent="0.2">
      <c r="E134" s="178">
        <v>24</v>
      </c>
      <c r="F134" s="225">
        <f t="shared" si="231"/>
        <v>7.1999999999999995E-2</v>
      </c>
      <c r="G134" s="225"/>
      <c r="H134" s="225">
        <f t="shared" si="182"/>
        <v>1.0799999999999998</v>
      </c>
      <c r="I134" s="561">
        <f t="shared" si="183"/>
        <v>7</v>
      </c>
      <c r="J134" s="456">
        <f t="shared" si="184"/>
        <v>15.25</v>
      </c>
      <c r="K134" s="456">
        <f t="shared" si="185"/>
        <v>22.25</v>
      </c>
      <c r="L134" s="456"/>
      <c r="M134" s="225">
        <f t="shared" si="186"/>
        <v>0.6853932584269663</v>
      </c>
      <c r="N134" s="180">
        <f t="shared" si="232"/>
        <v>3.1305337078651685</v>
      </c>
      <c r="O134" s="180">
        <f t="shared" ref="O134:O197" si="236">T134*F134</f>
        <v>1.0799999999999998</v>
      </c>
      <c r="P134" s="225">
        <f t="shared" si="187"/>
        <v>0.20870224719101124</v>
      </c>
      <c r="Q134" s="225">
        <f t="shared" si="188"/>
        <v>15</v>
      </c>
      <c r="R134" s="225"/>
      <c r="S134" s="180">
        <f t="shared" si="189"/>
        <v>56.468354209794732</v>
      </c>
      <c r="T134" s="180">
        <f t="shared" si="190"/>
        <v>15</v>
      </c>
      <c r="U134" s="225">
        <f t="shared" si="191"/>
        <v>0.50023419203747066</v>
      </c>
      <c r="V134" s="225">
        <f t="shared" si="192"/>
        <v>2.8584810973569756</v>
      </c>
      <c r="W134" s="225">
        <f t="shared" si="193"/>
        <v>1.3120896840327101</v>
      </c>
      <c r="X134" s="205">
        <f t="shared" si="194"/>
        <v>350</v>
      </c>
      <c r="Y134" s="456">
        <f t="shared" si="195"/>
        <v>239.77533350166223</v>
      </c>
      <c r="AA134" s="225">
        <f t="shared" si="196"/>
        <v>0.34269662921348309</v>
      </c>
      <c r="AB134" s="181">
        <f t="shared" si="197"/>
        <v>0.89887640449438189</v>
      </c>
      <c r="AC134" s="181">
        <f t="shared" si="198"/>
        <v>5.3907334932458008E-2</v>
      </c>
      <c r="AD134" s="181"/>
      <c r="AE134" s="181">
        <f t="shared" si="199"/>
        <v>0.76065573770491812</v>
      </c>
      <c r="AF134" s="565">
        <f t="shared" si="200"/>
        <v>652.79429250891781</v>
      </c>
      <c r="AG134" s="548">
        <f t="shared" si="201"/>
        <v>3.8603278688524589E-2</v>
      </c>
      <c r="AI134" s="181">
        <f t="shared" si="202"/>
        <v>0.39605194464507154</v>
      </c>
      <c r="AJ134" s="181">
        <f t="shared" si="203"/>
        <v>0.50023419203747066</v>
      </c>
      <c r="AK134" s="181">
        <f t="shared" si="204"/>
        <v>1.3557290311388672</v>
      </c>
      <c r="AM134" s="565">
        <f t="shared" si="205"/>
        <v>72</v>
      </c>
      <c r="AN134" s="474">
        <f t="shared" si="206"/>
        <v>239.77533350166223</v>
      </c>
      <c r="AP134" s="474">
        <f t="shared" si="207"/>
        <v>72</v>
      </c>
      <c r="AQ134" s="474">
        <f t="shared" si="208"/>
        <v>239.77533350166223</v>
      </c>
      <c r="AS134" s="6">
        <f t="shared" ref="AS134:AS197" si="237">1/AN134*1000</f>
        <v>4.170570781389686</v>
      </c>
      <c r="AT134" s="6">
        <f t="shared" si="209"/>
        <v>2.8584810973569756</v>
      </c>
      <c r="AU134" s="6">
        <f t="shared" si="210"/>
        <v>1.3120896840327103</v>
      </c>
      <c r="AV134" s="6"/>
      <c r="AW134" s="181">
        <f t="shared" si="211"/>
        <v>0.6853932584269663</v>
      </c>
      <c r="AX134" s="181">
        <f t="shared" si="233"/>
        <v>1.2</v>
      </c>
      <c r="AY134" s="181">
        <f t="shared" si="234"/>
        <v>7.8688524590163927E-2</v>
      </c>
      <c r="AZ134" s="181">
        <f t="shared" ref="AZ134:AZ197" si="238">AX134/AY134</f>
        <v>15.25</v>
      </c>
      <c r="BD134" s="181">
        <f t="shared" ref="BD134:BD197" si="239">AJ134*SQRT(AW134/3)</f>
        <v>0.23910169791772598</v>
      </c>
      <c r="BE134" s="181">
        <f t="shared" si="235"/>
        <v>0.16199319022926301</v>
      </c>
      <c r="BG134" s="548">
        <f t="shared" si="212"/>
        <v>2.0009367681498819E-2</v>
      </c>
      <c r="BH134" s="548">
        <f t="shared" si="213"/>
        <v>2.6687499999999996E-2</v>
      </c>
      <c r="BI134" s="548">
        <f t="shared" si="214"/>
        <v>2.9971916687707776E-3</v>
      </c>
      <c r="BJ134" s="548">
        <f t="shared" si="215"/>
        <v>6.8254671223958322E-3</v>
      </c>
      <c r="BK134">
        <f t="shared" si="216"/>
        <v>2.0300000000000001E-3</v>
      </c>
      <c r="BL134" s="474">
        <f t="shared" si="217"/>
        <v>58.549526472665427</v>
      </c>
      <c r="BM134" s="548">
        <f t="shared" si="218"/>
        <v>2.5199999999999997E-2</v>
      </c>
      <c r="BP134" s="474">
        <f t="shared" si="219"/>
        <v>25.199999999999996</v>
      </c>
      <c r="BQ134" s="548">
        <f t="shared" si="220"/>
        <v>0</v>
      </c>
      <c r="BR134" s="548">
        <f t="shared" si="221"/>
        <v>0</v>
      </c>
      <c r="BS134" s="548">
        <f t="shared" si="222"/>
        <v>7.8779767900822775E-3</v>
      </c>
      <c r="BT134" s="548">
        <f t="shared" si="223"/>
        <v>6.2999999999999987E-2</v>
      </c>
      <c r="BU134" s="474">
        <f t="shared" si="224"/>
        <v>70.877976790082258</v>
      </c>
      <c r="BV134" s="181">
        <f t="shared" si="225"/>
        <v>0.15462750326274768</v>
      </c>
      <c r="BW134" s="6">
        <f t="shared" si="226"/>
        <v>1.0799999999999998</v>
      </c>
      <c r="BX134" s="181">
        <f t="shared" si="227"/>
        <v>0.87475776875688094</v>
      </c>
      <c r="BY134" s="6">
        <f t="shared" si="228"/>
        <v>87.475776875688098</v>
      </c>
      <c r="CB134" s="583">
        <f t="shared" si="229"/>
        <v>-50</v>
      </c>
      <c r="CC134">
        <f t="shared" si="230"/>
        <v>-50</v>
      </c>
    </row>
    <row r="135" spans="5:81" x14ac:dyDescent="0.2">
      <c r="E135" s="178">
        <v>25</v>
      </c>
      <c r="F135" s="225">
        <f t="shared" si="231"/>
        <v>7.4999999999999997E-2</v>
      </c>
      <c r="G135" s="225"/>
      <c r="H135" s="225">
        <f t="shared" si="182"/>
        <v>1.125</v>
      </c>
      <c r="I135" s="561">
        <f t="shared" si="183"/>
        <v>7</v>
      </c>
      <c r="J135" s="456">
        <f t="shared" si="184"/>
        <v>15.25</v>
      </c>
      <c r="K135" s="456">
        <f t="shared" si="185"/>
        <v>22.25</v>
      </c>
      <c r="L135" s="456"/>
      <c r="M135" s="225">
        <f t="shared" si="186"/>
        <v>0.6853932584269663</v>
      </c>
      <c r="N135" s="180">
        <f t="shared" si="232"/>
        <v>3.1305337078651685</v>
      </c>
      <c r="O135" s="180">
        <f t="shared" si="236"/>
        <v>1.125</v>
      </c>
      <c r="P135" s="225">
        <f t="shared" si="187"/>
        <v>0.20870224719101124</v>
      </c>
      <c r="Q135" s="225">
        <f t="shared" si="188"/>
        <v>15</v>
      </c>
      <c r="R135" s="225"/>
      <c r="S135" s="180">
        <f t="shared" si="189"/>
        <v>53.932298371471852</v>
      </c>
      <c r="T135" s="180">
        <f t="shared" si="190"/>
        <v>15</v>
      </c>
      <c r="U135" s="225">
        <f t="shared" si="191"/>
        <v>0.52107728337236536</v>
      </c>
      <c r="V135" s="225">
        <f t="shared" si="192"/>
        <v>2.9775844764135169</v>
      </c>
      <c r="W135" s="225">
        <f t="shared" si="193"/>
        <v>1.3667600875340733</v>
      </c>
      <c r="X135" s="205">
        <f t="shared" si="194"/>
        <v>350</v>
      </c>
      <c r="Y135" s="456">
        <f t="shared" si="195"/>
        <v>230.18432016159571</v>
      </c>
      <c r="AA135" s="225">
        <f t="shared" si="196"/>
        <v>0.34269662921348309</v>
      </c>
      <c r="AB135" s="181">
        <f t="shared" si="197"/>
        <v>0.89887640449438189</v>
      </c>
      <c r="AC135" s="181">
        <f t="shared" si="198"/>
        <v>5.3907334932458008E-2</v>
      </c>
      <c r="AD135" s="181"/>
      <c r="AE135" s="181">
        <f t="shared" si="199"/>
        <v>0.76065573770491812</v>
      </c>
      <c r="AF135" s="565">
        <f t="shared" si="200"/>
        <v>679.99405469678948</v>
      </c>
      <c r="AG135" s="548">
        <f t="shared" si="201"/>
        <v>3.8603278688524589E-2</v>
      </c>
      <c r="AI135" s="181">
        <f t="shared" si="202"/>
        <v>0.40421882334059744</v>
      </c>
      <c r="AJ135" s="181">
        <f t="shared" si="203"/>
        <v>0.52107728337236536</v>
      </c>
      <c r="AK135" s="181">
        <f t="shared" si="204"/>
        <v>1.371168358053604</v>
      </c>
      <c r="AM135" s="565">
        <f t="shared" si="205"/>
        <v>75</v>
      </c>
      <c r="AN135" s="474">
        <f t="shared" si="206"/>
        <v>230.18432016159571</v>
      </c>
      <c r="AP135" s="474">
        <f t="shared" si="207"/>
        <v>75</v>
      </c>
      <c r="AQ135" s="474">
        <f t="shared" si="208"/>
        <v>230.18432016159571</v>
      </c>
      <c r="AS135" s="6">
        <f t="shared" si="237"/>
        <v>4.3443445639475904</v>
      </c>
      <c r="AT135" s="6">
        <f t="shared" si="209"/>
        <v>2.9775844764135169</v>
      </c>
      <c r="AU135" s="6">
        <f t="shared" si="210"/>
        <v>1.3667600875340735</v>
      </c>
      <c r="AV135" s="6"/>
      <c r="AW135" s="181">
        <f t="shared" si="211"/>
        <v>0.6853932584269663</v>
      </c>
      <c r="AX135" s="181">
        <f t="shared" si="233"/>
        <v>1.25</v>
      </c>
      <c r="AY135" s="181">
        <f t="shared" si="234"/>
        <v>8.1967213114754106E-2</v>
      </c>
      <c r="AZ135" s="181">
        <f t="shared" si="238"/>
        <v>15.249999999999998</v>
      </c>
      <c r="BD135" s="181">
        <f t="shared" si="239"/>
        <v>0.24906426866429796</v>
      </c>
      <c r="BE135" s="181">
        <f t="shared" si="235"/>
        <v>0.16874290648881568</v>
      </c>
      <c r="BG135" s="548">
        <f t="shared" si="212"/>
        <v>2.1711553473848556E-2</v>
      </c>
      <c r="BH135" s="548">
        <f t="shared" si="213"/>
        <v>2.6687499999999996E-2</v>
      </c>
      <c r="BI135" s="548">
        <f t="shared" si="214"/>
        <v>2.8773040020199461E-3</v>
      </c>
      <c r="BJ135" s="548">
        <f t="shared" si="215"/>
        <v>6.5524484374999978E-3</v>
      </c>
      <c r="BK135">
        <f t="shared" si="216"/>
        <v>2.0300000000000001E-3</v>
      </c>
      <c r="BL135" s="474">
        <f t="shared" si="217"/>
        <v>59.858805913368492</v>
      </c>
      <c r="BM135" s="548">
        <f t="shared" si="218"/>
        <v>2.6249999999999999E-2</v>
      </c>
      <c r="BP135" s="474">
        <f t="shared" si="219"/>
        <v>26.25</v>
      </c>
      <c r="BQ135" s="548">
        <f t="shared" si="220"/>
        <v>0</v>
      </c>
      <c r="BR135" s="548">
        <f t="shared" si="221"/>
        <v>0</v>
      </c>
      <c r="BS135" s="548">
        <f t="shared" si="222"/>
        <v>7.8779767900822757E-3</v>
      </c>
      <c r="BT135" s="548">
        <f t="shared" si="223"/>
        <v>6.5625000000000003E-2</v>
      </c>
      <c r="BU135" s="474">
        <f t="shared" si="224"/>
        <v>73.502976790082272</v>
      </c>
      <c r="BV135" s="181">
        <f t="shared" si="225"/>
        <v>0.15961178270345078</v>
      </c>
      <c r="BW135" s="6">
        <f t="shared" si="226"/>
        <v>1.125</v>
      </c>
      <c r="BX135" s="181">
        <f t="shared" si="227"/>
        <v>0.87575095849771067</v>
      </c>
      <c r="BY135" s="6">
        <f t="shared" si="228"/>
        <v>87.575095849771074</v>
      </c>
      <c r="CB135" s="583">
        <f t="shared" si="229"/>
        <v>-50</v>
      </c>
      <c r="CC135">
        <f t="shared" si="230"/>
        <v>-50</v>
      </c>
    </row>
    <row r="136" spans="5:81" x14ac:dyDescent="0.2">
      <c r="E136" s="178">
        <v>26</v>
      </c>
      <c r="F136" s="225">
        <f t="shared" si="231"/>
        <v>7.8E-2</v>
      </c>
      <c r="G136" s="225"/>
      <c r="H136" s="225">
        <f t="shared" si="182"/>
        <v>1.17</v>
      </c>
      <c r="I136" s="561">
        <f t="shared" si="183"/>
        <v>7</v>
      </c>
      <c r="J136" s="456">
        <f t="shared" si="184"/>
        <v>15.25</v>
      </c>
      <c r="K136" s="456">
        <f t="shared" si="185"/>
        <v>22.25</v>
      </c>
      <c r="L136" s="456"/>
      <c r="M136" s="225">
        <f t="shared" si="186"/>
        <v>0.6853932584269663</v>
      </c>
      <c r="N136" s="180">
        <f t="shared" si="232"/>
        <v>3.1305337078651685</v>
      </c>
      <c r="O136" s="180">
        <f t="shared" si="236"/>
        <v>1.17</v>
      </c>
      <c r="P136" s="225">
        <f t="shared" si="187"/>
        <v>0.20870224719101124</v>
      </c>
      <c r="Q136" s="225">
        <f t="shared" si="188"/>
        <v>15</v>
      </c>
      <c r="R136" s="225"/>
      <c r="S136" s="180">
        <f t="shared" si="189"/>
        <v>51.591449080140833</v>
      </c>
      <c r="T136" s="180">
        <f t="shared" si="190"/>
        <v>15</v>
      </c>
      <c r="U136" s="225">
        <f t="shared" si="191"/>
        <v>0.54192037470725996</v>
      </c>
      <c r="V136" s="225">
        <f t="shared" si="192"/>
        <v>3.0966878554700572</v>
      </c>
      <c r="W136" s="225">
        <f t="shared" si="193"/>
        <v>1.4214304910354361</v>
      </c>
      <c r="X136" s="205">
        <f t="shared" si="194"/>
        <v>350</v>
      </c>
      <c r="Y136" s="456">
        <f t="shared" si="195"/>
        <v>221.33107707845744</v>
      </c>
      <c r="AA136" s="225">
        <f t="shared" si="196"/>
        <v>0.34269662921348309</v>
      </c>
      <c r="AB136" s="181">
        <f t="shared" si="197"/>
        <v>0.89887640449438189</v>
      </c>
      <c r="AC136" s="181">
        <f t="shared" si="198"/>
        <v>5.3907334932458008E-2</v>
      </c>
      <c r="AD136" s="181"/>
      <c r="AE136" s="181">
        <f t="shared" si="199"/>
        <v>0.76065573770491812</v>
      </c>
      <c r="AF136" s="565">
        <f t="shared" si="200"/>
        <v>707.19381688466115</v>
      </c>
      <c r="AG136" s="548">
        <f t="shared" si="201"/>
        <v>3.8603278688524589E-2</v>
      </c>
      <c r="AI136" s="181">
        <f t="shared" si="202"/>
        <v>0.41222393359504422</v>
      </c>
      <c r="AJ136" s="181">
        <f t="shared" si="203"/>
        <v>0.54192037470725996</v>
      </c>
      <c r="AK136" s="181">
        <f t="shared" si="204"/>
        <v>1.3866076849683406</v>
      </c>
      <c r="AM136" s="565">
        <f t="shared" si="205"/>
        <v>78</v>
      </c>
      <c r="AN136" s="474">
        <f t="shared" si="206"/>
        <v>221.33107707845744</v>
      </c>
      <c r="AP136" s="474">
        <f t="shared" si="207"/>
        <v>78</v>
      </c>
      <c r="AQ136" s="474">
        <f t="shared" si="208"/>
        <v>221.33107707845744</v>
      </c>
      <c r="AS136" s="6">
        <f t="shared" si="237"/>
        <v>4.518118346505493</v>
      </c>
      <c r="AT136" s="6">
        <f t="shared" si="209"/>
        <v>3.0966878554700572</v>
      </c>
      <c r="AU136" s="6">
        <f t="shared" si="210"/>
        <v>1.4214304910354358</v>
      </c>
      <c r="AV136" s="6"/>
      <c r="AW136" s="181">
        <f t="shared" si="211"/>
        <v>0.6853932584269663</v>
      </c>
      <c r="AX136" s="181">
        <f t="shared" si="233"/>
        <v>1.3</v>
      </c>
      <c r="AY136" s="181">
        <f t="shared" si="234"/>
        <v>8.5245901639344257E-2</v>
      </c>
      <c r="AZ136" s="181">
        <f t="shared" si="238"/>
        <v>15.250000000000002</v>
      </c>
      <c r="BD136" s="181">
        <f t="shared" si="239"/>
        <v>0.25902683941086985</v>
      </c>
      <c r="BE136" s="181">
        <f t="shared" si="235"/>
        <v>0.1754926227483683</v>
      </c>
      <c r="BG136" s="548">
        <f t="shared" si="212"/>
        <v>2.3483216237314596E-2</v>
      </c>
      <c r="BH136" s="548">
        <f t="shared" si="213"/>
        <v>2.6687499999999999E-2</v>
      </c>
      <c r="BI136" s="548">
        <f t="shared" si="214"/>
        <v>2.7666384634807179E-3</v>
      </c>
      <c r="BJ136" s="548">
        <f t="shared" si="215"/>
        <v>6.3004311899038457E-3</v>
      </c>
      <c r="BK136">
        <f t="shared" si="216"/>
        <v>2.0300000000000001E-3</v>
      </c>
      <c r="BL136" s="474">
        <f t="shared" si="217"/>
        <v>61.267785890699159</v>
      </c>
      <c r="BM136" s="548">
        <f t="shared" si="218"/>
        <v>2.7299999999999998E-2</v>
      </c>
      <c r="BP136" s="474">
        <f t="shared" si="219"/>
        <v>27.299999999999997</v>
      </c>
      <c r="BQ136" s="548">
        <f t="shared" si="220"/>
        <v>0</v>
      </c>
      <c r="BR136" s="548">
        <f t="shared" si="221"/>
        <v>0</v>
      </c>
      <c r="BS136" s="548">
        <f t="shared" si="222"/>
        <v>7.8779767900822861E-3</v>
      </c>
      <c r="BT136" s="548">
        <f t="shared" si="223"/>
        <v>6.8250000000000005E-2</v>
      </c>
      <c r="BU136" s="474">
        <f t="shared" si="224"/>
        <v>76.127976790082286</v>
      </c>
      <c r="BV136" s="181">
        <f t="shared" si="225"/>
        <v>0.16469576268078145</v>
      </c>
      <c r="BW136" s="6">
        <f t="shared" si="226"/>
        <v>1.17</v>
      </c>
      <c r="BX136" s="181">
        <f t="shared" si="227"/>
        <v>0.87660426646595146</v>
      </c>
      <c r="BY136" s="6">
        <f t="shared" si="228"/>
        <v>87.660426646595141</v>
      </c>
      <c r="CB136" s="583">
        <f t="shared" si="229"/>
        <v>-50</v>
      </c>
      <c r="CC136">
        <f t="shared" si="230"/>
        <v>-50</v>
      </c>
    </row>
    <row r="137" spans="5:81" x14ac:dyDescent="0.2">
      <c r="E137" s="178">
        <v>27</v>
      </c>
      <c r="F137" s="225">
        <f t="shared" si="231"/>
        <v>8.1000000000000003E-2</v>
      </c>
      <c r="G137" s="225"/>
      <c r="H137" s="225">
        <f t="shared" si="182"/>
        <v>1.2150000000000001</v>
      </c>
      <c r="I137" s="561">
        <f t="shared" si="183"/>
        <v>7</v>
      </c>
      <c r="J137" s="456">
        <f t="shared" si="184"/>
        <v>15.25</v>
      </c>
      <c r="K137" s="456">
        <f t="shared" si="185"/>
        <v>22.25</v>
      </c>
      <c r="L137" s="456"/>
      <c r="M137" s="225">
        <f t="shared" si="186"/>
        <v>0.6853932584269663</v>
      </c>
      <c r="N137" s="180">
        <f t="shared" si="232"/>
        <v>3.1305337078651685</v>
      </c>
      <c r="O137" s="180">
        <f t="shared" si="236"/>
        <v>1.2150000000000001</v>
      </c>
      <c r="P137" s="225">
        <f t="shared" si="187"/>
        <v>0.20870224719101124</v>
      </c>
      <c r="Q137" s="225">
        <f t="shared" si="188"/>
        <v>15</v>
      </c>
      <c r="R137" s="225"/>
      <c r="S137" s="180">
        <f t="shared" si="189"/>
        <v>49.424118502473533</v>
      </c>
      <c r="T137" s="180">
        <f t="shared" si="190"/>
        <v>15</v>
      </c>
      <c r="U137" s="225">
        <f t="shared" si="191"/>
        <v>0.56276346604215466</v>
      </c>
      <c r="V137" s="225">
        <f t="shared" si="192"/>
        <v>3.2157912345265984</v>
      </c>
      <c r="W137" s="225">
        <f t="shared" si="193"/>
        <v>1.4761008945367993</v>
      </c>
      <c r="X137" s="205">
        <f t="shared" si="194"/>
        <v>350</v>
      </c>
      <c r="Y137" s="456">
        <f t="shared" si="195"/>
        <v>213.1336297792553</v>
      </c>
      <c r="AA137" s="225">
        <f t="shared" si="196"/>
        <v>0.34269662921348309</v>
      </c>
      <c r="AB137" s="181">
        <f t="shared" si="197"/>
        <v>0.89887640449438189</v>
      </c>
      <c r="AC137" s="181">
        <f t="shared" si="198"/>
        <v>5.3907334932458008E-2</v>
      </c>
      <c r="AD137" s="181"/>
      <c r="AE137" s="181">
        <f t="shared" si="199"/>
        <v>0.76065573770491812</v>
      </c>
      <c r="AF137" s="565">
        <f t="shared" si="200"/>
        <v>734.3935790725327</v>
      </c>
      <c r="AG137" s="548">
        <f t="shared" si="201"/>
        <v>3.8603278688524589E-2</v>
      </c>
      <c r="AI137" s="181">
        <f t="shared" si="202"/>
        <v>0.42007652364097392</v>
      </c>
      <c r="AJ137" s="181">
        <f t="shared" si="203"/>
        <v>0.56276346604215466</v>
      </c>
      <c r="AK137" s="181">
        <f t="shared" si="204"/>
        <v>1.4020470118830775</v>
      </c>
      <c r="AM137" s="565">
        <f t="shared" si="205"/>
        <v>81</v>
      </c>
      <c r="AN137" s="474">
        <f t="shared" si="206"/>
        <v>213.1336297792553</v>
      </c>
      <c r="AP137" s="474">
        <f t="shared" si="207"/>
        <v>81</v>
      </c>
      <c r="AQ137" s="474">
        <f t="shared" si="208"/>
        <v>213.1336297792553</v>
      </c>
      <c r="AS137" s="6">
        <f t="shared" si="237"/>
        <v>4.6918921290633966</v>
      </c>
      <c r="AT137" s="6">
        <f t="shared" si="209"/>
        <v>3.2157912345265984</v>
      </c>
      <c r="AU137" s="6">
        <f t="shared" si="210"/>
        <v>1.4761008945367982</v>
      </c>
      <c r="AV137" s="6"/>
      <c r="AW137" s="181">
        <f t="shared" si="211"/>
        <v>0.68539325842696641</v>
      </c>
      <c r="AX137" s="181">
        <f t="shared" si="233"/>
        <v>1.3500000000000003</v>
      </c>
      <c r="AY137" s="181">
        <f t="shared" si="234"/>
        <v>8.8524590163934408E-2</v>
      </c>
      <c r="AZ137" s="181">
        <f t="shared" si="238"/>
        <v>15.250000000000007</v>
      </c>
      <c r="BD137" s="181">
        <f t="shared" si="239"/>
        <v>0.26898941015744188</v>
      </c>
      <c r="BE137" s="181">
        <f t="shared" si="235"/>
        <v>0.18224233900792092</v>
      </c>
      <c r="BG137" s="548">
        <f t="shared" si="212"/>
        <v>2.5324355971896972E-2</v>
      </c>
      <c r="BH137" s="548">
        <f t="shared" si="213"/>
        <v>2.6687499999999999E-2</v>
      </c>
      <c r="BI137" s="548">
        <f t="shared" si="214"/>
        <v>2.664170372240691E-3</v>
      </c>
      <c r="BJ137" s="548">
        <f t="shared" si="215"/>
        <v>6.067081886574073E-3</v>
      </c>
      <c r="BK137">
        <f t="shared" si="216"/>
        <v>2.0300000000000001E-3</v>
      </c>
      <c r="BL137" s="474">
        <f t="shared" si="217"/>
        <v>62.773108230711735</v>
      </c>
      <c r="BM137" s="548">
        <f t="shared" si="218"/>
        <v>2.835E-2</v>
      </c>
      <c r="BP137" s="474">
        <f t="shared" si="219"/>
        <v>28.35</v>
      </c>
      <c r="BQ137" s="548">
        <f t="shared" si="220"/>
        <v>0</v>
      </c>
      <c r="BR137" s="548">
        <f t="shared" si="221"/>
        <v>0</v>
      </c>
      <c r="BS137" s="548">
        <f t="shared" si="222"/>
        <v>7.877976790082274E-3</v>
      </c>
      <c r="BT137" s="548">
        <f t="shared" si="223"/>
        <v>7.0875000000000021E-2</v>
      </c>
      <c r="BU137" s="474">
        <f t="shared" si="224"/>
        <v>78.7529767900823</v>
      </c>
      <c r="BV137" s="181">
        <f t="shared" si="225"/>
        <v>0.16987608502079404</v>
      </c>
      <c r="BW137" s="6">
        <f t="shared" si="226"/>
        <v>1.2150000000000001</v>
      </c>
      <c r="BX137" s="181">
        <f t="shared" si="227"/>
        <v>0.87733481222022591</v>
      </c>
      <c r="BY137" s="6">
        <f t="shared" si="228"/>
        <v>87.73348122202259</v>
      </c>
      <c r="CB137" s="583">
        <f t="shared" si="229"/>
        <v>-50</v>
      </c>
      <c r="CC137">
        <f t="shared" si="230"/>
        <v>-50</v>
      </c>
    </row>
    <row r="138" spans="5:81" x14ac:dyDescent="0.2">
      <c r="E138" s="178">
        <v>28</v>
      </c>
      <c r="F138" s="225">
        <f t="shared" si="231"/>
        <v>8.4000000000000005E-2</v>
      </c>
      <c r="G138" s="225"/>
      <c r="H138" s="225">
        <f t="shared" si="182"/>
        <v>1.26</v>
      </c>
      <c r="I138" s="561">
        <f t="shared" si="183"/>
        <v>7</v>
      </c>
      <c r="J138" s="456">
        <f t="shared" si="184"/>
        <v>15.25</v>
      </c>
      <c r="K138" s="456">
        <f t="shared" si="185"/>
        <v>22.25</v>
      </c>
      <c r="L138" s="456"/>
      <c r="M138" s="225">
        <f t="shared" si="186"/>
        <v>0.6853932584269663</v>
      </c>
      <c r="N138" s="180">
        <f t="shared" si="232"/>
        <v>3.1305337078651685</v>
      </c>
      <c r="O138" s="180">
        <f t="shared" si="236"/>
        <v>1.26</v>
      </c>
      <c r="P138" s="225">
        <f t="shared" si="187"/>
        <v>0.20870224719101124</v>
      </c>
      <c r="Q138" s="225">
        <f t="shared" si="188"/>
        <v>15</v>
      </c>
      <c r="R138" s="225"/>
      <c r="S138" s="180">
        <f t="shared" si="189"/>
        <v>47.41171709930957</v>
      </c>
      <c r="T138" s="180">
        <f t="shared" si="190"/>
        <v>15</v>
      </c>
      <c r="U138" s="225">
        <f t="shared" si="191"/>
        <v>0.58360655737704925</v>
      </c>
      <c r="V138" s="225">
        <f t="shared" si="192"/>
        <v>3.3348946135831388</v>
      </c>
      <c r="W138" s="225">
        <f t="shared" si="193"/>
        <v>1.530771298038162</v>
      </c>
      <c r="X138" s="205">
        <f t="shared" si="194"/>
        <v>350</v>
      </c>
      <c r="Y138" s="456">
        <f t="shared" si="195"/>
        <v>205.52171442999617</v>
      </c>
      <c r="AA138" s="225">
        <f t="shared" si="196"/>
        <v>0.34269662921348309</v>
      </c>
      <c r="AB138" s="181">
        <f t="shared" si="197"/>
        <v>0.89887640449438189</v>
      </c>
      <c r="AC138" s="181">
        <f t="shared" si="198"/>
        <v>5.3907334932458008E-2</v>
      </c>
      <c r="AD138" s="181"/>
      <c r="AE138" s="181">
        <f t="shared" si="199"/>
        <v>0.76065573770491812</v>
      </c>
      <c r="AF138" s="565">
        <f t="shared" si="200"/>
        <v>761.59334126040437</v>
      </c>
      <c r="AG138" s="548">
        <f t="shared" si="201"/>
        <v>3.8603278688524589E-2</v>
      </c>
      <c r="AI138" s="181">
        <f t="shared" si="202"/>
        <v>0.42778499272414877</v>
      </c>
      <c r="AJ138" s="181">
        <f t="shared" si="203"/>
        <v>0.58360655737704925</v>
      </c>
      <c r="AK138" s="181">
        <f t="shared" si="204"/>
        <v>1.4174863387978143</v>
      </c>
      <c r="AM138" s="565">
        <f t="shared" si="205"/>
        <v>84</v>
      </c>
      <c r="AN138" s="474">
        <f t="shared" si="206"/>
        <v>205.52171442999617</v>
      </c>
      <c r="AP138" s="474">
        <f t="shared" si="207"/>
        <v>84</v>
      </c>
      <c r="AQ138" s="474">
        <f t="shared" si="208"/>
        <v>205.52171442999617</v>
      </c>
      <c r="AS138" s="6">
        <f t="shared" si="237"/>
        <v>4.865665911621301</v>
      </c>
      <c r="AT138" s="6">
        <f t="shared" si="209"/>
        <v>3.3348946135831388</v>
      </c>
      <c r="AU138" s="6">
        <f t="shared" si="210"/>
        <v>1.5307712980381623</v>
      </c>
      <c r="AV138" s="6"/>
      <c r="AW138" s="181">
        <f t="shared" si="211"/>
        <v>0.6853932584269663</v>
      </c>
      <c r="AX138" s="181">
        <f t="shared" si="233"/>
        <v>1.4000000000000001</v>
      </c>
      <c r="AY138" s="181">
        <f t="shared" si="234"/>
        <v>9.18032786885246E-2</v>
      </c>
      <c r="AZ138" s="181">
        <f t="shared" si="238"/>
        <v>15.25</v>
      </c>
      <c r="BD138" s="181">
        <f t="shared" si="239"/>
        <v>0.27895198090401374</v>
      </c>
      <c r="BE138" s="181">
        <f t="shared" si="235"/>
        <v>0.18899205526747356</v>
      </c>
      <c r="BG138" s="548">
        <f t="shared" si="212"/>
        <v>2.7234972677595636E-2</v>
      </c>
      <c r="BH138" s="548">
        <f t="shared" si="213"/>
        <v>2.6687499999999996E-2</v>
      </c>
      <c r="BI138" s="548">
        <f t="shared" si="214"/>
        <v>2.5690214303749521E-3</v>
      </c>
      <c r="BJ138" s="548">
        <f t="shared" si="215"/>
        <v>5.850400390624998E-3</v>
      </c>
      <c r="BK138">
        <f t="shared" si="216"/>
        <v>2.0300000000000001E-3</v>
      </c>
      <c r="BL138" s="474">
        <f t="shared" si="217"/>
        <v>64.37189449859558</v>
      </c>
      <c r="BM138" s="548">
        <f t="shared" si="218"/>
        <v>2.9399999999999999E-2</v>
      </c>
      <c r="BP138" s="474">
        <f t="shared" si="219"/>
        <v>29.4</v>
      </c>
      <c r="BQ138" s="548">
        <f t="shared" si="220"/>
        <v>0</v>
      </c>
      <c r="BR138" s="548">
        <f t="shared" si="221"/>
        <v>0</v>
      </c>
      <c r="BS138" s="548">
        <f t="shared" si="222"/>
        <v>7.8779767900822879E-3</v>
      </c>
      <c r="BT138" s="548">
        <f t="shared" si="223"/>
        <v>7.350000000000001E-2</v>
      </c>
      <c r="BU138" s="474">
        <f t="shared" si="224"/>
        <v>81.3779767900823</v>
      </c>
      <c r="BV138" s="181">
        <f t="shared" si="225"/>
        <v>0.17514987128867787</v>
      </c>
      <c r="BW138" s="6">
        <f t="shared" si="226"/>
        <v>1.26</v>
      </c>
      <c r="BX138" s="181">
        <f t="shared" si="227"/>
        <v>0.87795708671777684</v>
      </c>
      <c r="BY138" s="6">
        <f t="shared" si="228"/>
        <v>87.795708671777689</v>
      </c>
      <c r="CB138" s="583">
        <f t="shared" si="229"/>
        <v>-50</v>
      </c>
      <c r="CC138">
        <f t="shared" si="230"/>
        <v>-50</v>
      </c>
    </row>
    <row r="139" spans="5:81" x14ac:dyDescent="0.2">
      <c r="E139" s="178">
        <v>29</v>
      </c>
      <c r="F139" s="225">
        <f t="shared" si="231"/>
        <v>8.6999999999999994E-2</v>
      </c>
      <c r="G139" s="225"/>
      <c r="H139" s="225">
        <f t="shared" si="182"/>
        <v>1.3049999999999999</v>
      </c>
      <c r="I139" s="561">
        <f t="shared" si="183"/>
        <v>7</v>
      </c>
      <c r="J139" s="456">
        <f t="shared" si="184"/>
        <v>15.25</v>
      </c>
      <c r="K139" s="456">
        <f t="shared" si="185"/>
        <v>22.25</v>
      </c>
      <c r="L139" s="456"/>
      <c r="M139" s="225">
        <f t="shared" si="186"/>
        <v>0.6853932584269663</v>
      </c>
      <c r="N139" s="180">
        <f t="shared" si="232"/>
        <v>3.1305337078651685</v>
      </c>
      <c r="O139" s="180">
        <f t="shared" si="236"/>
        <v>1.3049999999999999</v>
      </c>
      <c r="P139" s="225">
        <f t="shared" si="187"/>
        <v>0.20870224719101124</v>
      </c>
      <c r="Q139" s="225">
        <f t="shared" si="188"/>
        <v>15</v>
      </c>
      <c r="R139" s="225"/>
      <c r="S139" s="180">
        <f t="shared" si="189"/>
        <v>45.538219437695794</v>
      </c>
      <c r="T139" s="180">
        <f t="shared" si="190"/>
        <v>15</v>
      </c>
      <c r="U139" s="225">
        <f t="shared" si="191"/>
        <v>0.60444964871194384</v>
      </c>
      <c r="V139" s="225">
        <f t="shared" si="192"/>
        <v>3.4539979926396795</v>
      </c>
      <c r="W139" s="225">
        <f t="shared" si="193"/>
        <v>1.585441701539525</v>
      </c>
      <c r="X139" s="205">
        <f t="shared" si="194"/>
        <v>350</v>
      </c>
      <c r="Y139" s="456">
        <f t="shared" si="195"/>
        <v>198.4347587599963</v>
      </c>
      <c r="AA139" s="225">
        <f t="shared" si="196"/>
        <v>0.34269662921348309</v>
      </c>
      <c r="AB139" s="181">
        <f t="shared" si="197"/>
        <v>0.89887640449438189</v>
      </c>
      <c r="AC139" s="181">
        <f t="shared" si="198"/>
        <v>5.3907334932458008E-2</v>
      </c>
      <c r="AD139" s="181"/>
      <c r="AE139" s="181">
        <f t="shared" si="199"/>
        <v>0.76065573770491812</v>
      </c>
      <c r="AF139" s="565">
        <f t="shared" si="200"/>
        <v>788.79310344827582</v>
      </c>
      <c r="AG139" s="548">
        <f t="shared" si="201"/>
        <v>3.8603278688524589E-2</v>
      </c>
      <c r="AI139" s="181">
        <f t="shared" si="202"/>
        <v>0.43535699636702091</v>
      </c>
      <c r="AJ139" s="181">
        <f t="shared" si="203"/>
        <v>0.60444964871194384</v>
      </c>
      <c r="AK139" s="181">
        <f t="shared" si="204"/>
        <v>1.4329256657125509</v>
      </c>
      <c r="AM139" s="565">
        <f t="shared" si="205"/>
        <v>87</v>
      </c>
      <c r="AN139" s="474">
        <f t="shared" si="206"/>
        <v>198.4347587599963</v>
      </c>
      <c r="AP139" s="474">
        <f t="shared" si="207"/>
        <v>87</v>
      </c>
      <c r="AQ139" s="474">
        <f t="shared" si="208"/>
        <v>198.4347587599963</v>
      </c>
      <c r="AS139" s="6">
        <f t="shared" si="237"/>
        <v>5.0394396941792046</v>
      </c>
      <c r="AT139" s="6">
        <f t="shared" si="209"/>
        <v>3.4539979926396795</v>
      </c>
      <c r="AU139" s="6">
        <f t="shared" si="210"/>
        <v>1.585441701539525</v>
      </c>
      <c r="AV139" s="6"/>
      <c r="AW139" s="181">
        <f t="shared" si="211"/>
        <v>0.6853932584269663</v>
      </c>
      <c r="AX139" s="181">
        <f t="shared" si="233"/>
        <v>1.45</v>
      </c>
      <c r="AY139" s="181">
        <f t="shared" si="234"/>
        <v>9.5081967213114765E-2</v>
      </c>
      <c r="AZ139" s="181">
        <f t="shared" si="238"/>
        <v>15.249999999999998</v>
      </c>
      <c r="BD139" s="181">
        <f t="shared" si="239"/>
        <v>0.28891455165058566</v>
      </c>
      <c r="BE139" s="181">
        <f t="shared" si="235"/>
        <v>0.19574177152702618</v>
      </c>
      <c r="BG139" s="548">
        <f t="shared" si="212"/>
        <v>2.9215066354410624E-2</v>
      </c>
      <c r="BH139" s="548">
        <f t="shared" si="213"/>
        <v>2.6687499999999996E-2</v>
      </c>
      <c r="BI139" s="548">
        <f t="shared" si="214"/>
        <v>2.4804344844999537E-3</v>
      </c>
      <c r="BJ139" s="548">
        <f t="shared" si="215"/>
        <v>5.6486624461206877E-3</v>
      </c>
      <c r="BK139">
        <f t="shared" si="216"/>
        <v>2.0300000000000001E-3</v>
      </c>
      <c r="BL139" s="474">
        <f t="shared" si="217"/>
        <v>66.061663285031273</v>
      </c>
      <c r="BM139" s="548">
        <f t="shared" si="218"/>
        <v>3.0449999999999994E-2</v>
      </c>
      <c r="BP139" s="474">
        <f t="shared" si="219"/>
        <v>30.449999999999996</v>
      </c>
      <c r="BQ139" s="548">
        <f t="shared" si="220"/>
        <v>0</v>
      </c>
      <c r="BR139" s="548">
        <f t="shared" si="221"/>
        <v>0</v>
      </c>
      <c r="BS139" s="548">
        <f t="shared" si="222"/>
        <v>7.8779767900822913E-3</v>
      </c>
      <c r="BT139" s="548">
        <f t="shared" si="223"/>
        <v>7.6125000000000012E-2</v>
      </c>
      <c r="BU139" s="474">
        <f t="shared" si="224"/>
        <v>84.0029767900823</v>
      </c>
      <c r="BV139" s="181">
        <f t="shared" si="225"/>
        <v>0.18051464007511356</v>
      </c>
      <c r="BW139" s="6">
        <f t="shared" si="226"/>
        <v>1.3049999999999999</v>
      </c>
      <c r="BX139" s="181">
        <f t="shared" si="227"/>
        <v>0.87848343247160043</v>
      </c>
      <c r="BY139" s="6">
        <f t="shared" si="228"/>
        <v>87.848343247160045</v>
      </c>
      <c r="CB139" s="583">
        <f t="shared" si="229"/>
        <v>-50</v>
      </c>
      <c r="CC139">
        <f t="shared" si="230"/>
        <v>-50</v>
      </c>
    </row>
    <row r="140" spans="5:81" x14ac:dyDescent="0.2">
      <c r="E140" s="178">
        <v>30</v>
      </c>
      <c r="F140" s="225">
        <f t="shared" si="231"/>
        <v>0.09</v>
      </c>
      <c r="G140" s="225"/>
      <c r="H140" s="225">
        <f t="shared" si="182"/>
        <v>1.3499999999999999</v>
      </c>
      <c r="I140" s="561">
        <f t="shared" si="183"/>
        <v>7</v>
      </c>
      <c r="J140" s="456">
        <f t="shared" si="184"/>
        <v>15.25</v>
      </c>
      <c r="K140" s="456">
        <f t="shared" si="185"/>
        <v>22.25</v>
      </c>
      <c r="L140" s="456"/>
      <c r="M140" s="225">
        <f t="shared" si="186"/>
        <v>0.6853932584269663</v>
      </c>
      <c r="N140" s="180">
        <f t="shared" si="232"/>
        <v>3.1305337078651685</v>
      </c>
      <c r="O140" s="180">
        <f t="shared" si="236"/>
        <v>1.3499999999999999</v>
      </c>
      <c r="P140" s="225">
        <f t="shared" si="187"/>
        <v>0.20870224719101124</v>
      </c>
      <c r="Q140" s="225">
        <f t="shared" si="188"/>
        <v>15</v>
      </c>
      <c r="R140" s="225"/>
      <c r="S140" s="180">
        <f t="shared" si="189"/>
        <v>43.789736840534196</v>
      </c>
      <c r="T140" s="180">
        <f t="shared" si="190"/>
        <v>15</v>
      </c>
      <c r="U140" s="225">
        <f t="shared" si="191"/>
        <v>0.62529274004683844</v>
      </c>
      <c r="V140" s="225">
        <f t="shared" si="192"/>
        <v>3.5731013716962199</v>
      </c>
      <c r="W140" s="225">
        <f t="shared" si="193"/>
        <v>1.640112105040888</v>
      </c>
      <c r="X140" s="205">
        <f t="shared" si="194"/>
        <v>350</v>
      </c>
      <c r="Y140" s="456">
        <f t="shared" si="195"/>
        <v>191.82026680132978</v>
      </c>
      <c r="AA140" s="225">
        <f t="shared" si="196"/>
        <v>0.34269662921348309</v>
      </c>
      <c r="AB140" s="181">
        <f t="shared" si="197"/>
        <v>0.89887640449438189</v>
      </c>
      <c r="AC140" s="181">
        <f t="shared" si="198"/>
        <v>5.3907334932458008E-2</v>
      </c>
      <c r="AD140" s="181"/>
      <c r="AE140" s="181">
        <f t="shared" si="199"/>
        <v>0.76065573770491812</v>
      </c>
      <c r="AF140" s="565">
        <f t="shared" si="200"/>
        <v>815.99286563614749</v>
      </c>
      <c r="AG140" s="548">
        <f t="shared" si="201"/>
        <v>3.8603278688524589E-2</v>
      </c>
      <c r="AI140" s="181">
        <f t="shared" si="202"/>
        <v>0.44279953542368194</v>
      </c>
      <c r="AJ140" s="181">
        <f t="shared" si="203"/>
        <v>0.62529274004683844</v>
      </c>
      <c r="AK140" s="181">
        <f t="shared" si="204"/>
        <v>1.4483649926272877</v>
      </c>
      <c r="AM140" s="565">
        <f t="shared" si="205"/>
        <v>90</v>
      </c>
      <c r="AN140" s="474">
        <f t="shared" si="206"/>
        <v>191.82026680132978</v>
      </c>
      <c r="AP140" s="474">
        <f t="shared" si="207"/>
        <v>90</v>
      </c>
      <c r="AQ140" s="474">
        <f t="shared" si="208"/>
        <v>191.82026680132978</v>
      </c>
      <c r="AS140" s="6">
        <f t="shared" si="237"/>
        <v>5.2132134767371072</v>
      </c>
      <c r="AT140" s="6">
        <f t="shared" si="209"/>
        <v>3.5731013716962199</v>
      </c>
      <c r="AU140" s="6">
        <f t="shared" si="210"/>
        <v>1.6401121050408873</v>
      </c>
      <c r="AV140" s="6"/>
      <c r="AW140" s="181">
        <f t="shared" si="211"/>
        <v>0.6853932584269663</v>
      </c>
      <c r="AX140" s="181">
        <f t="shared" si="233"/>
        <v>1.5000000000000002</v>
      </c>
      <c r="AY140" s="181">
        <f t="shared" si="234"/>
        <v>9.8360655737704916E-2</v>
      </c>
      <c r="AZ140" s="181">
        <f t="shared" si="238"/>
        <v>15.250000000000002</v>
      </c>
      <c r="BD140" s="181">
        <f t="shared" si="239"/>
        <v>0.29887712239715752</v>
      </c>
      <c r="BE140" s="181">
        <f t="shared" si="235"/>
        <v>0.2024914877865788</v>
      </c>
      <c r="BG140" s="548">
        <f t="shared" si="212"/>
        <v>3.1264637002341916E-2</v>
      </c>
      <c r="BH140" s="548">
        <f t="shared" si="213"/>
        <v>2.6687499999999999E-2</v>
      </c>
      <c r="BI140" s="548">
        <f t="shared" si="214"/>
        <v>2.3977533350166219E-3</v>
      </c>
      <c r="BJ140" s="548">
        <f t="shared" si="215"/>
        <v>5.4603736979166656E-3</v>
      </c>
      <c r="BK140">
        <f t="shared" si="216"/>
        <v>2.0300000000000001E-3</v>
      </c>
      <c r="BL140" s="474">
        <f t="shared" si="217"/>
        <v>67.840264035275212</v>
      </c>
      <c r="BM140" s="548">
        <f t="shared" si="218"/>
        <v>3.15E-2</v>
      </c>
      <c r="BP140" s="474">
        <f t="shared" si="219"/>
        <v>31.5</v>
      </c>
      <c r="BQ140" s="548">
        <f t="shared" si="220"/>
        <v>0</v>
      </c>
      <c r="BR140" s="548">
        <f t="shared" si="221"/>
        <v>0</v>
      </c>
      <c r="BS140" s="548">
        <f t="shared" si="222"/>
        <v>7.8779767900822844E-3</v>
      </c>
      <c r="BT140" s="548">
        <f t="shared" si="223"/>
        <v>7.8750000000000014E-2</v>
      </c>
      <c r="BU140" s="474">
        <f t="shared" si="224"/>
        <v>86.6279767900823</v>
      </c>
      <c r="BV140" s="181">
        <f t="shared" si="225"/>
        <v>0.18596824082535751</v>
      </c>
      <c r="BW140" s="6">
        <f t="shared" si="226"/>
        <v>1.3499999999999999</v>
      </c>
      <c r="BX140" s="181">
        <f t="shared" si="227"/>
        <v>0.8789244231212574</v>
      </c>
      <c r="BY140" s="6">
        <f t="shared" si="228"/>
        <v>87.892442312125738</v>
      </c>
      <c r="CB140" s="583">
        <f t="shared" si="229"/>
        <v>-50</v>
      </c>
      <c r="CC140">
        <f t="shared" si="230"/>
        <v>-50</v>
      </c>
    </row>
    <row r="141" spans="5:81" x14ac:dyDescent="0.2">
      <c r="E141" s="178">
        <v>31</v>
      </c>
      <c r="F141" s="225">
        <f t="shared" si="231"/>
        <v>9.2999999999999999E-2</v>
      </c>
      <c r="G141" s="225"/>
      <c r="H141" s="225">
        <f t="shared" si="182"/>
        <v>1.395</v>
      </c>
      <c r="I141" s="561">
        <f t="shared" si="183"/>
        <v>7</v>
      </c>
      <c r="J141" s="456">
        <f t="shared" si="184"/>
        <v>15.25</v>
      </c>
      <c r="K141" s="456">
        <f t="shared" si="185"/>
        <v>22.25</v>
      </c>
      <c r="L141" s="456"/>
      <c r="M141" s="225">
        <f t="shared" si="186"/>
        <v>0.6853932584269663</v>
      </c>
      <c r="N141" s="180">
        <f t="shared" si="232"/>
        <v>3.1305337078651685</v>
      </c>
      <c r="O141" s="180">
        <f t="shared" si="236"/>
        <v>1.395</v>
      </c>
      <c r="P141" s="225">
        <f t="shared" si="187"/>
        <v>0.20870224719101124</v>
      </c>
      <c r="Q141" s="225">
        <f t="shared" si="188"/>
        <v>15</v>
      </c>
      <c r="R141" s="225"/>
      <c r="S141" s="180">
        <f t="shared" si="189"/>
        <v>42.154172749217494</v>
      </c>
      <c r="T141" s="180">
        <f t="shared" si="190"/>
        <v>15</v>
      </c>
      <c r="U141" s="225">
        <f t="shared" si="191"/>
        <v>0.64613583138173303</v>
      </c>
      <c r="V141" s="225">
        <f t="shared" si="192"/>
        <v>3.6922047507527602</v>
      </c>
      <c r="W141" s="225">
        <f t="shared" si="193"/>
        <v>1.6947825085422505</v>
      </c>
      <c r="X141" s="205">
        <f t="shared" si="194"/>
        <v>350</v>
      </c>
      <c r="Y141" s="456">
        <f t="shared" si="195"/>
        <v>185.63251625935143</v>
      </c>
      <c r="AA141" s="225">
        <f t="shared" si="196"/>
        <v>0.34269662921348309</v>
      </c>
      <c r="AB141" s="181">
        <f t="shared" si="197"/>
        <v>0.89887640449438189</v>
      </c>
      <c r="AC141" s="181">
        <f t="shared" si="198"/>
        <v>5.3907334932458008E-2</v>
      </c>
      <c r="AD141" s="181"/>
      <c r="AE141" s="181">
        <f t="shared" si="199"/>
        <v>0.76065573770491812</v>
      </c>
      <c r="AF141" s="565">
        <f t="shared" si="200"/>
        <v>843.19262782401904</v>
      </c>
      <c r="AG141" s="548">
        <f t="shared" si="201"/>
        <v>3.8603278688524589E-2</v>
      </c>
      <c r="AI141" s="181">
        <f t="shared" si="202"/>
        <v>0.45011903187617258</v>
      </c>
      <c r="AJ141" s="181">
        <f t="shared" si="203"/>
        <v>0.64613583138173303</v>
      </c>
      <c r="AK141" s="181">
        <f t="shared" si="204"/>
        <v>1.4638043195420245</v>
      </c>
      <c r="AM141" s="565">
        <f t="shared" si="205"/>
        <v>93</v>
      </c>
      <c r="AN141" s="474">
        <f t="shared" si="206"/>
        <v>185.63251625935143</v>
      </c>
      <c r="AP141" s="474">
        <f t="shared" si="207"/>
        <v>93</v>
      </c>
      <c r="AQ141" s="474">
        <f t="shared" si="208"/>
        <v>185.63251625935143</v>
      </c>
      <c r="AS141" s="6">
        <f t="shared" si="237"/>
        <v>5.3869872592950099</v>
      </c>
      <c r="AT141" s="6">
        <f t="shared" si="209"/>
        <v>3.6922047507527602</v>
      </c>
      <c r="AU141" s="6">
        <f t="shared" si="210"/>
        <v>1.6947825085422497</v>
      </c>
      <c r="AV141" s="6"/>
      <c r="AW141" s="181">
        <f t="shared" si="211"/>
        <v>0.68539325842696641</v>
      </c>
      <c r="AX141" s="181">
        <f t="shared" si="233"/>
        <v>1.5500000000000005</v>
      </c>
      <c r="AY141" s="181">
        <f t="shared" si="234"/>
        <v>0.10163934426229504</v>
      </c>
      <c r="AZ141" s="181">
        <f t="shared" si="238"/>
        <v>15.250000000000011</v>
      </c>
      <c r="BD141" s="181">
        <f t="shared" si="239"/>
        <v>0.3088396931437295</v>
      </c>
      <c r="BE141" s="181">
        <f t="shared" si="235"/>
        <v>0.20924120404613139</v>
      </c>
      <c r="BG141" s="548">
        <f t="shared" si="212"/>
        <v>3.3383684621389548E-2</v>
      </c>
      <c r="BH141" s="548">
        <f t="shared" si="213"/>
        <v>2.6687500000000006E-2</v>
      </c>
      <c r="BI141" s="548">
        <f t="shared" si="214"/>
        <v>2.3204064532418929E-3</v>
      </c>
      <c r="BJ141" s="548">
        <f t="shared" si="215"/>
        <v>5.2842326108870968E-3</v>
      </c>
      <c r="BK141">
        <f t="shared" si="216"/>
        <v>2.0300000000000001E-3</v>
      </c>
      <c r="BL141" s="474">
        <f t="shared" si="217"/>
        <v>69.705823685518538</v>
      </c>
      <c r="BM141" s="548">
        <f t="shared" si="218"/>
        <v>3.2549999999999996E-2</v>
      </c>
      <c r="BP141" s="474">
        <f t="shared" si="219"/>
        <v>32.549999999999997</v>
      </c>
      <c r="BQ141" s="548">
        <f t="shared" si="220"/>
        <v>0</v>
      </c>
      <c r="BR141" s="548">
        <f t="shared" si="221"/>
        <v>0</v>
      </c>
      <c r="BS141" s="548">
        <f t="shared" si="222"/>
        <v>7.8779767900822896E-3</v>
      </c>
      <c r="BT141" s="548">
        <f t="shared" si="223"/>
        <v>8.1375000000000017E-2</v>
      </c>
      <c r="BU141" s="474">
        <f t="shared" si="224"/>
        <v>89.2529767900823</v>
      </c>
      <c r="BV141" s="181">
        <f t="shared" si="225"/>
        <v>0.19150880047560084</v>
      </c>
      <c r="BW141" s="6">
        <f t="shared" si="226"/>
        <v>1.395</v>
      </c>
      <c r="BX141" s="181">
        <f t="shared" si="227"/>
        <v>0.87928916598622664</v>
      </c>
      <c r="BY141" s="6">
        <f t="shared" si="228"/>
        <v>87.928916598622664</v>
      </c>
      <c r="CB141" s="583">
        <f t="shared" si="229"/>
        <v>-50</v>
      </c>
      <c r="CC141">
        <f t="shared" si="230"/>
        <v>-50</v>
      </c>
    </row>
    <row r="142" spans="5:81" x14ac:dyDescent="0.2">
      <c r="E142" s="178">
        <v>32</v>
      </c>
      <c r="F142" s="225">
        <f t="shared" si="231"/>
        <v>9.6000000000000002E-2</v>
      </c>
      <c r="G142" s="225"/>
      <c r="H142" s="225">
        <f t="shared" ref="H142:H173" si="240">F142*Vout</f>
        <v>1.44</v>
      </c>
      <c r="I142" s="561">
        <f t="shared" ref="I142:I173" si="241">VIN_min</f>
        <v>7</v>
      </c>
      <c r="J142" s="456">
        <f t="shared" ref="J142:J173" si="242">(T142+Vfwd1)*Nps</f>
        <v>15.25</v>
      </c>
      <c r="K142" s="456">
        <f t="shared" ref="K142:K173" si="243">(Vout+Vfwd1)*Nps+I142</f>
        <v>22.25</v>
      </c>
      <c r="L142" s="456"/>
      <c r="M142" s="225">
        <f t="shared" ref="M142:M173" si="244">(Vout+Vfwd1)*Nps/((Vout+Vfwd1)*Nps+I142)</f>
        <v>0.6853932584269663</v>
      </c>
      <c r="N142" s="180">
        <f t="shared" ref="N142:N173" si="245">M142*I142*Isw_max*0.5*Efficiency</f>
        <v>3.1305337078651685</v>
      </c>
      <c r="O142" s="180">
        <f t="shared" si="236"/>
        <v>1.44</v>
      </c>
      <c r="P142" s="225">
        <f t="shared" ref="P142:P173" si="246">N142/Vout</f>
        <v>0.20870224719101124</v>
      </c>
      <c r="Q142" s="225">
        <f t="shared" ref="Q142:Q173" si="247">MIN(Vout,N142/F142)</f>
        <v>15</v>
      </c>
      <c r="R142" s="225"/>
      <c r="S142" s="180">
        <f t="shared" ref="S142:S173" si="248">(SQRT(Isw_max^2*Nps^2*I142^2+4*Isw_max*F142/Efficiency*(Nps^2*Vfwd1*I142-Nps*I142^2)+4*(F142/Efficiency)^2*Nps^2*Vfwd1^2+8*(F142/Efficiency)^2*Nps*Vfwd1*I142+4*(F142/Efficiency)^2*I142^2)-2*F142/Efficiency*I142-2*F142/Efficiency*Nps*Vfwd1+Isw_max*Nps*I142)/(4*F142/Efficiency*Nps)</f>
        <v>40.620942705786675</v>
      </c>
      <c r="T142" s="180">
        <f t="shared" ref="T142:T173" si="249">MIN(Vout, S142)</f>
        <v>15</v>
      </c>
      <c r="U142" s="225">
        <f t="shared" ref="U142:U173" si="250">MIN(2*Vout*F142/(Efficiency*I142*M142), Isw_max)</f>
        <v>0.66697892271662762</v>
      </c>
      <c r="V142" s="225">
        <f t="shared" ref="V142:V173" si="251">L*U142/I142*1000000</f>
        <v>3.811308129809301</v>
      </c>
      <c r="W142" s="225">
        <f t="shared" ref="W142:W173" si="252">L*U142/J142*1000000</f>
        <v>1.7494529120436135</v>
      </c>
      <c r="X142" s="205">
        <f t="shared" ref="X142:X173" si="253">IF(1/((350000*L)*(1/I142+1/J142))&gt;Isw_min, 350, 0.001/((Isw_min*L)*(1/I142+1/J142)))</f>
        <v>350</v>
      </c>
      <c r="Y142" s="456">
        <f t="shared" si="195"/>
        <v>179.83150012624668</v>
      </c>
      <c r="AA142" s="225">
        <f t="shared" ref="AA142:AA173" si="254">1/((X142*1000*L)*(1/I142+1/J142))</f>
        <v>0.34269662921348309</v>
      </c>
      <c r="AB142" s="181">
        <f t="shared" ref="AB142:AB173" si="255">L*AA142/J142*1000000</f>
        <v>0.89887640449438189</v>
      </c>
      <c r="AC142" s="181">
        <f t="shared" ref="AC142:AC173" si="256">0.5*AB142*AA142*Nps*X142/1000</f>
        <v>5.3907334932458008E-2</v>
      </c>
      <c r="AD142" s="181"/>
      <c r="AE142" s="181">
        <f t="shared" ref="AE142:AE173" si="257">L*Isw_min/J142*1000000</f>
        <v>0.76065573770491812</v>
      </c>
      <c r="AF142" s="565">
        <f t="shared" ref="AF142:AF173" si="258">MAX(10000,F142/(0.5*AE142/1000000*Isw_min*Nps))/1000</f>
        <v>870.3923900118906</v>
      </c>
      <c r="AG142" s="548">
        <f t="shared" ref="AG142:AG173" si="259">0.5*AE142/1000000*Isw_min*Nps*X142*1000</f>
        <v>3.8603278688524589E-2</v>
      </c>
      <c r="AI142" s="181">
        <f t="shared" ref="AI142:AI173" si="260">SQRT(F142/(0.5*L/J142*Fsw_DCM*Nps))</f>
        <v>0.45732139370781366</v>
      </c>
      <c r="AJ142" s="181">
        <f t="shared" ref="AJ142:AJ173" si="261">MAX(IF(F142&gt;AC142,U142,AI142),Isw_min)</f>
        <v>0.66697892271662762</v>
      </c>
      <c r="AK142" s="181">
        <f t="shared" ref="AK142:AK173" si="262">IF(F142&gt;AG142, (AJ142-Isw_min)/1.08*0.8+1.2, AF142*0.2/350+1)</f>
        <v>1.4792436464567611</v>
      </c>
      <c r="AM142" s="565">
        <f t="shared" ref="AM142:AM173" si="263">F142*1000</f>
        <v>96</v>
      </c>
      <c r="AN142" s="474">
        <f t="shared" ref="AN142:AN173" si="264">IF(F142&gt;AG142, Y142, AF142)</f>
        <v>179.83150012624668</v>
      </c>
      <c r="AP142" s="474">
        <f t="shared" ref="AP142:AP173" si="265">IF(H142&gt;N142, "",AM142)</f>
        <v>96</v>
      </c>
      <c r="AQ142" s="474">
        <f t="shared" ref="AQ142:AQ173" si="266">IF(H142&gt;N142, "",AN142)</f>
        <v>179.83150012624668</v>
      </c>
      <c r="AS142" s="6">
        <f t="shared" si="237"/>
        <v>5.5607610418529143</v>
      </c>
      <c r="AT142" s="6">
        <f t="shared" ref="AT142:AT173" si="267">L*AJ142/I142*1000000</f>
        <v>3.811308129809301</v>
      </c>
      <c r="AU142" s="6">
        <f t="shared" si="210"/>
        <v>1.7494529120436133</v>
      </c>
      <c r="AV142" s="6"/>
      <c r="AW142" s="181">
        <f t="shared" si="211"/>
        <v>0.6853932584269663</v>
      </c>
      <c r="AX142" s="181">
        <f t="shared" si="233"/>
        <v>1.5999999999999999</v>
      </c>
      <c r="AY142" s="181">
        <f t="shared" si="234"/>
        <v>0.10491803278688525</v>
      </c>
      <c r="AZ142" s="181">
        <f t="shared" si="238"/>
        <v>15.249999999999998</v>
      </c>
      <c r="BD142" s="181">
        <f t="shared" si="239"/>
        <v>0.31880226389030136</v>
      </c>
      <c r="BE142" s="181">
        <f t="shared" si="235"/>
        <v>0.21599092030568404</v>
      </c>
      <c r="BG142" s="548">
        <f t="shared" si="212"/>
        <v>3.557220921155347E-2</v>
      </c>
      <c r="BH142" s="548">
        <f t="shared" si="213"/>
        <v>2.6687499999999999E-2</v>
      </c>
      <c r="BI142" s="548">
        <f t="shared" si="214"/>
        <v>2.2478937515780836E-3</v>
      </c>
      <c r="BJ142" s="548">
        <f t="shared" si="215"/>
        <v>5.1191003417968743E-3</v>
      </c>
      <c r="BK142">
        <f t="shared" si="216"/>
        <v>2.0300000000000001E-3</v>
      </c>
      <c r="BL142" s="474">
        <f t="shared" si="217"/>
        <v>71.656703304928413</v>
      </c>
      <c r="BM142" s="548">
        <f t="shared" si="218"/>
        <v>3.3599999999999998E-2</v>
      </c>
      <c r="BP142" s="474">
        <f t="shared" si="219"/>
        <v>33.6</v>
      </c>
      <c r="BQ142" s="548">
        <f t="shared" si="220"/>
        <v>0</v>
      </c>
      <c r="BR142" s="548">
        <f t="shared" si="221"/>
        <v>0</v>
      </c>
      <c r="BS142" s="548">
        <f t="shared" si="222"/>
        <v>7.8779767900822827E-3</v>
      </c>
      <c r="BT142" s="548">
        <f t="shared" si="223"/>
        <v>8.3999999999999991E-2</v>
      </c>
      <c r="BU142" s="474">
        <f t="shared" si="224"/>
        <v>91.877976790082272</v>
      </c>
      <c r="BV142" s="181">
        <f t="shared" si="225"/>
        <v>0.1971346800950107</v>
      </c>
      <c r="BW142" s="6">
        <f t="shared" si="226"/>
        <v>1.44</v>
      </c>
      <c r="BX142" s="181">
        <f t="shared" si="227"/>
        <v>0.87958554510398002</v>
      </c>
      <c r="BY142" s="6">
        <f t="shared" si="228"/>
        <v>87.958554510398002</v>
      </c>
      <c r="CB142" s="583">
        <f t="shared" ref="CB142:CB173" si="268">IF(ABS(F142-Ioutmax_Vinmin)&lt;Iout/200, AN142, -50)</f>
        <v>-50</v>
      </c>
      <c r="CC142">
        <f t="shared" ref="CC142:CC173" si="269">IF(ABS(F142-Ioutmax_Vinmin)&lt;Iout/200, N142*BX142, -50)</f>
        <v>-50</v>
      </c>
    </row>
    <row r="143" spans="5:81" x14ac:dyDescent="0.2">
      <c r="E143" s="178">
        <v>33</v>
      </c>
      <c r="F143" s="225">
        <f t="shared" ref="F143:F174" si="270">IF(PLOT_TYPE=1, E143/100*Iout_max, min_I*EXP(N143*rr/100))</f>
        <v>9.9000000000000005E-2</v>
      </c>
      <c r="G143" s="225"/>
      <c r="H143" s="225">
        <f t="shared" si="240"/>
        <v>1.4850000000000001</v>
      </c>
      <c r="I143" s="561">
        <f t="shared" si="241"/>
        <v>7</v>
      </c>
      <c r="J143" s="456">
        <f t="shared" si="242"/>
        <v>15.25</v>
      </c>
      <c r="K143" s="456">
        <f t="shared" si="243"/>
        <v>22.25</v>
      </c>
      <c r="L143" s="456"/>
      <c r="M143" s="225">
        <f t="shared" si="244"/>
        <v>0.6853932584269663</v>
      </c>
      <c r="N143" s="180">
        <f t="shared" si="245"/>
        <v>3.1305337078651685</v>
      </c>
      <c r="O143" s="180">
        <f t="shared" si="236"/>
        <v>1.4850000000000001</v>
      </c>
      <c r="P143" s="225">
        <f t="shared" si="246"/>
        <v>0.20870224719101124</v>
      </c>
      <c r="Q143" s="225">
        <f t="shared" si="247"/>
        <v>15</v>
      </c>
      <c r="R143" s="225"/>
      <c r="S143" s="180">
        <f t="shared" si="248"/>
        <v>39.180745247439418</v>
      </c>
      <c r="T143" s="180">
        <f t="shared" si="249"/>
        <v>15</v>
      </c>
      <c r="U143" s="225">
        <f t="shared" si="250"/>
        <v>0.68782201405152232</v>
      </c>
      <c r="V143" s="225">
        <f t="shared" si="251"/>
        <v>3.9304115088658427</v>
      </c>
      <c r="W143" s="225">
        <f t="shared" si="252"/>
        <v>1.8041233155449767</v>
      </c>
      <c r="X143" s="205">
        <f t="shared" si="253"/>
        <v>350</v>
      </c>
      <c r="Y143" s="456">
        <f t="shared" si="195"/>
        <v>174.38206072848158</v>
      </c>
      <c r="AA143" s="225">
        <f t="shared" si="254"/>
        <v>0.34269662921348309</v>
      </c>
      <c r="AB143" s="181">
        <f t="shared" si="255"/>
        <v>0.89887640449438189</v>
      </c>
      <c r="AC143" s="181">
        <f t="shared" si="256"/>
        <v>5.3907334932458008E-2</v>
      </c>
      <c r="AD143" s="181"/>
      <c r="AE143" s="181">
        <f t="shared" si="257"/>
        <v>0.76065573770491812</v>
      </c>
      <c r="AF143" s="565">
        <f t="shared" si="258"/>
        <v>897.59215219976215</v>
      </c>
      <c r="AG143" s="548">
        <f t="shared" si="259"/>
        <v>3.8603278688524589E-2</v>
      </c>
      <c r="AI143" s="181">
        <f t="shared" si="260"/>
        <v>0.46441207071799012</v>
      </c>
      <c r="AJ143" s="181">
        <f t="shared" si="261"/>
        <v>0.68782201405152232</v>
      </c>
      <c r="AK143" s="181">
        <f t="shared" si="262"/>
        <v>1.4946829733714979</v>
      </c>
      <c r="AM143" s="565">
        <f t="shared" si="263"/>
        <v>99</v>
      </c>
      <c r="AN143" s="474">
        <f t="shared" si="264"/>
        <v>174.38206072848158</v>
      </c>
      <c r="AP143" s="474">
        <f t="shared" si="265"/>
        <v>99</v>
      </c>
      <c r="AQ143" s="474">
        <f t="shared" si="266"/>
        <v>174.38206072848158</v>
      </c>
      <c r="AS143" s="6">
        <f t="shared" si="237"/>
        <v>5.7345348244108196</v>
      </c>
      <c r="AT143" s="6">
        <f t="shared" si="267"/>
        <v>3.9304115088658427</v>
      </c>
      <c r="AU143" s="6">
        <f t="shared" si="210"/>
        <v>1.804123315544977</v>
      </c>
      <c r="AV143" s="6"/>
      <c r="AW143" s="181">
        <f t="shared" si="211"/>
        <v>0.6853932584269663</v>
      </c>
      <c r="AX143" s="181">
        <f t="shared" si="233"/>
        <v>1.65</v>
      </c>
      <c r="AY143" s="181">
        <f t="shared" si="234"/>
        <v>0.10819672131147542</v>
      </c>
      <c r="AZ143" s="181">
        <f t="shared" si="238"/>
        <v>15.249999999999996</v>
      </c>
      <c r="BD143" s="181">
        <f t="shared" si="239"/>
        <v>0.32876483463687334</v>
      </c>
      <c r="BE143" s="181">
        <f t="shared" si="235"/>
        <v>0.22274063656523671</v>
      </c>
      <c r="BG143" s="548">
        <f t="shared" si="212"/>
        <v>3.7830210772833731E-2</v>
      </c>
      <c r="BH143" s="548">
        <f t="shared" si="213"/>
        <v>2.6687499999999992E-2</v>
      </c>
      <c r="BI143" s="548">
        <f t="shared" si="214"/>
        <v>2.1797757591060195E-3</v>
      </c>
      <c r="BJ143" s="548">
        <f t="shared" si="215"/>
        <v>4.9639760890151496E-3</v>
      </c>
      <c r="BK143">
        <f t="shared" si="216"/>
        <v>2.0300000000000001E-3</v>
      </c>
      <c r="BL143" s="474">
        <f t="shared" si="217"/>
        <v>73.691462620954894</v>
      </c>
      <c r="BM143" s="548">
        <f t="shared" si="218"/>
        <v>3.465E-2</v>
      </c>
      <c r="BP143" s="474">
        <f t="shared" si="219"/>
        <v>34.65</v>
      </c>
      <c r="BQ143" s="548">
        <f t="shared" si="220"/>
        <v>0</v>
      </c>
      <c r="BR143" s="548">
        <f t="shared" si="221"/>
        <v>0</v>
      </c>
      <c r="BS143" s="548">
        <f t="shared" si="222"/>
        <v>7.8779767900822844E-3</v>
      </c>
      <c r="BT143" s="548">
        <f t="shared" si="223"/>
        <v>8.6624999999999994E-2</v>
      </c>
      <c r="BU143" s="474">
        <f t="shared" si="224"/>
        <v>94.502976790082286</v>
      </c>
      <c r="BV143" s="181">
        <f t="shared" si="225"/>
        <v>0.20284443941103719</v>
      </c>
      <c r="BW143" s="6">
        <f t="shared" si="226"/>
        <v>1.4850000000000001</v>
      </c>
      <c r="BX143" s="181">
        <f t="shared" si="227"/>
        <v>0.87982041788056109</v>
      </c>
      <c r="BY143" s="6">
        <f t="shared" si="228"/>
        <v>87.982041788056108</v>
      </c>
      <c r="CB143" s="583">
        <f t="shared" si="268"/>
        <v>-50</v>
      </c>
      <c r="CC143">
        <f t="shared" si="269"/>
        <v>-50</v>
      </c>
    </row>
    <row r="144" spans="5:81" x14ac:dyDescent="0.2">
      <c r="E144" s="178">
        <v>34</v>
      </c>
      <c r="F144" s="225">
        <f t="shared" si="270"/>
        <v>0.10200000000000001</v>
      </c>
      <c r="G144" s="225"/>
      <c r="H144" s="225">
        <f t="shared" si="240"/>
        <v>1.53</v>
      </c>
      <c r="I144" s="561">
        <f t="shared" si="241"/>
        <v>7</v>
      </c>
      <c r="J144" s="456">
        <f t="shared" si="242"/>
        <v>15.25</v>
      </c>
      <c r="K144" s="456">
        <f t="shared" si="243"/>
        <v>22.25</v>
      </c>
      <c r="L144" s="456"/>
      <c r="M144" s="225">
        <f t="shared" si="244"/>
        <v>0.6853932584269663</v>
      </c>
      <c r="N144" s="180">
        <f t="shared" si="245"/>
        <v>3.1305337078651685</v>
      </c>
      <c r="O144" s="180">
        <f t="shared" si="236"/>
        <v>1.53</v>
      </c>
      <c r="P144" s="225">
        <f t="shared" si="246"/>
        <v>0.20870224719101124</v>
      </c>
      <c r="Q144" s="225">
        <f t="shared" si="247"/>
        <v>15</v>
      </c>
      <c r="R144" s="225"/>
      <c r="S144" s="180">
        <f t="shared" si="248"/>
        <v>37.825373231435641</v>
      </c>
      <c r="T144" s="180">
        <f t="shared" si="249"/>
        <v>15</v>
      </c>
      <c r="U144" s="225">
        <f t="shared" si="250"/>
        <v>0.70866510538641692</v>
      </c>
      <c r="V144" s="225">
        <f t="shared" si="251"/>
        <v>4.049514887922383</v>
      </c>
      <c r="W144" s="225">
        <f t="shared" si="252"/>
        <v>1.8587937190463395</v>
      </c>
      <c r="X144" s="205">
        <f t="shared" si="253"/>
        <v>350</v>
      </c>
      <c r="Y144" s="456">
        <f t="shared" si="195"/>
        <v>169.25317658940861</v>
      </c>
      <c r="AA144" s="225">
        <f t="shared" si="254"/>
        <v>0.34269662921348309</v>
      </c>
      <c r="AB144" s="181">
        <f t="shared" si="255"/>
        <v>0.89887640449438189</v>
      </c>
      <c r="AC144" s="181">
        <f t="shared" si="256"/>
        <v>5.3907334932458008E-2</v>
      </c>
      <c r="AD144" s="181"/>
      <c r="AE144" s="181">
        <f t="shared" si="257"/>
        <v>0.76065573770491812</v>
      </c>
      <c r="AF144" s="565">
        <f t="shared" si="258"/>
        <v>924.79191438763382</v>
      </c>
      <c r="AG144" s="548">
        <f t="shared" si="259"/>
        <v>3.8603278688524589E-2</v>
      </c>
      <c r="AI144" s="181">
        <f t="shared" si="260"/>
        <v>0.47139610277799893</v>
      </c>
      <c r="AJ144" s="181">
        <f t="shared" si="261"/>
        <v>0.70866510538641692</v>
      </c>
      <c r="AK144" s="181">
        <f t="shared" si="262"/>
        <v>1.5101223002862347</v>
      </c>
      <c r="AM144" s="565">
        <f t="shared" si="263"/>
        <v>102.00000000000001</v>
      </c>
      <c r="AN144" s="474">
        <f t="shared" si="264"/>
        <v>169.25317658940861</v>
      </c>
      <c r="AP144" s="474">
        <f t="shared" si="265"/>
        <v>102.00000000000001</v>
      </c>
      <c r="AQ144" s="474">
        <f t="shared" si="266"/>
        <v>169.25317658940861</v>
      </c>
      <c r="AS144" s="6">
        <f t="shared" si="237"/>
        <v>5.9083086069687232</v>
      </c>
      <c r="AT144" s="6">
        <f t="shared" si="267"/>
        <v>4.049514887922383</v>
      </c>
      <c r="AU144" s="6">
        <f t="shared" si="210"/>
        <v>1.8587937190463402</v>
      </c>
      <c r="AV144" s="6"/>
      <c r="AW144" s="181">
        <f t="shared" si="211"/>
        <v>0.68539325842696619</v>
      </c>
      <c r="AX144" s="181">
        <f t="shared" si="233"/>
        <v>1.7</v>
      </c>
      <c r="AY144" s="181">
        <f t="shared" si="234"/>
        <v>0.11147540983606562</v>
      </c>
      <c r="AZ144" s="181">
        <f t="shared" si="238"/>
        <v>15.249999999999993</v>
      </c>
      <c r="BD144" s="181">
        <f t="shared" si="239"/>
        <v>0.3387274053834452</v>
      </c>
      <c r="BE144" s="181">
        <f t="shared" si="235"/>
        <v>0.22949035282478936</v>
      </c>
      <c r="BG144" s="548">
        <f t="shared" si="212"/>
        <v>4.0157689305230289E-2</v>
      </c>
      <c r="BH144" s="548">
        <f t="shared" si="213"/>
        <v>2.6687499999999999E-2</v>
      </c>
      <c r="BI144" s="548">
        <f t="shared" si="214"/>
        <v>2.1156647073676074E-3</v>
      </c>
      <c r="BJ144" s="548">
        <f t="shared" si="215"/>
        <v>4.8179767922794103E-3</v>
      </c>
      <c r="BK144">
        <f t="shared" si="216"/>
        <v>2.0300000000000001E-3</v>
      </c>
      <c r="BL144" s="474">
        <f t="shared" si="217"/>
        <v>75.808830804877317</v>
      </c>
      <c r="BM144" s="548">
        <f t="shared" si="218"/>
        <v>3.5700000000000003E-2</v>
      </c>
      <c r="BP144" s="474">
        <f t="shared" si="219"/>
        <v>35.700000000000003</v>
      </c>
      <c r="BQ144" s="548">
        <f t="shared" si="220"/>
        <v>0</v>
      </c>
      <c r="BR144" s="548">
        <f t="shared" si="221"/>
        <v>0</v>
      </c>
      <c r="BS144" s="548">
        <f t="shared" si="222"/>
        <v>7.877976790082267E-3</v>
      </c>
      <c r="BT144" s="548">
        <f t="shared" si="223"/>
        <v>8.9249999999999996E-2</v>
      </c>
      <c r="BU144" s="474">
        <f t="shared" si="224"/>
        <v>97.127976790082272</v>
      </c>
      <c r="BV144" s="181">
        <f t="shared" si="225"/>
        <v>0.20863680759495956</v>
      </c>
      <c r="BW144" s="6">
        <f t="shared" si="226"/>
        <v>1.53</v>
      </c>
      <c r="BX144" s="181">
        <f t="shared" si="227"/>
        <v>0.87999977529317064</v>
      </c>
      <c r="BY144" s="6">
        <f t="shared" si="228"/>
        <v>87.999977529317064</v>
      </c>
      <c r="CB144" s="583">
        <f t="shared" si="268"/>
        <v>-50</v>
      </c>
      <c r="CC144">
        <f t="shared" si="269"/>
        <v>-50</v>
      </c>
    </row>
    <row r="145" spans="5:81" x14ac:dyDescent="0.2">
      <c r="E145" s="178">
        <v>35</v>
      </c>
      <c r="F145" s="225">
        <f t="shared" si="270"/>
        <v>0.105</v>
      </c>
      <c r="G145" s="225"/>
      <c r="H145" s="225">
        <f t="shared" si="240"/>
        <v>1.575</v>
      </c>
      <c r="I145" s="561">
        <f t="shared" si="241"/>
        <v>7</v>
      </c>
      <c r="J145" s="456">
        <f t="shared" si="242"/>
        <v>15.25</v>
      </c>
      <c r="K145" s="456">
        <f t="shared" si="243"/>
        <v>22.25</v>
      </c>
      <c r="L145" s="456"/>
      <c r="M145" s="225">
        <f t="shared" si="244"/>
        <v>0.6853932584269663</v>
      </c>
      <c r="N145" s="180">
        <f t="shared" si="245"/>
        <v>3.1305337078651685</v>
      </c>
      <c r="O145" s="180">
        <f t="shared" si="236"/>
        <v>1.575</v>
      </c>
      <c r="P145" s="225">
        <f t="shared" si="246"/>
        <v>0.20870224719101124</v>
      </c>
      <c r="Q145" s="225">
        <f t="shared" si="247"/>
        <v>15</v>
      </c>
      <c r="R145" s="225"/>
      <c r="S145" s="180">
        <f t="shared" si="248"/>
        <v>36.547557504320629</v>
      </c>
      <c r="T145" s="180">
        <f t="shared" si="249"/>
        <v>15</v>
      </c>
      <c r="U145" s="225">
        <f t="shared" si="250"/>
        <v>0.72950819672131151</v>
      </c>
      <c r="V145" s="225">
        <f t="shared" si="251"/>
        <v>4.1686182669789229</v>
      </c>
      <c r="W145" s="225">
        <f t="shared" si="252"/>
        <v>1.9134641225477025</v>
      </c>
      <c r="X145" s="205">
        <f t="shared" si="253"/>
        <v>350</v>
      </c>
      <c r="Y145" s="456">
        <f t="shared" si="195"/>
        <v>164.41737154399695</v>
      </c>
      <c r="AA145" s="225">
        <f t="shared" si="254"/>
        <v>0.34269662921348309</v>
      </c>
      <c r="AB145" s="181">
        <f t="shared" si="255"/>
        <v>0.89887640449438189</v>
      </c>
      <c r="AC145" s="181">
        <f t="shared" si="256"/>
        <v>5.3907334932458008E-2</v>
      </c>
      <c r="AD145" s="181"/>
      <c r="AE145" s="181">
        <f t="shared" si="257"/>
        <v>0.76065573770491812</v>
      </c>
      <c r="AF145" s="565">
        <f t="shared" si="258"/>
        <v>951.99167657550527</v>
      </c>
      <c r="AG145" s="548">
        <f t="shared" si="259"/>
        <v>3.8603278688524589E-2</v>
      </c>
      <c r="AI145" s="181">
        <f t="shared" si="260"/>
        <v>0.47827816174272475</v>
      </c>
      <c r="AJ145" s="181">
        <f t="shared" si="261"/>
        <v>0.72950819672131151</v>
      </c>
      <c r="AK145" s="181">
        <f t="shared" si="262"/>
        <v>1.5255616272009713</v>
      </c>
      <c r="AM145" s="565">
        <f t="shared" si="263"/>
        <v>105</v>
      </c>
      <c r="AN145" s="474">
        <f t="shared" si="264"/>
        <v>164.41737154399695</v>
      </c>
      <c r="AP145" s="474">
        <f t="shared" si="265"/>
        <v>105</v>
      </c>
      <c r="AQ145" s="474">
        <f t="shared" si="266"/>
        <v>164.41737154399695</v>
      </c>
      <c r="AS145" s="6">
        <f t="shared" si="237"/>
        <v>6.0820823895266249</v>
      </c>
      <c r="AT145" s="6">
        <f t="shared" si="267"/>
        <v>4.1686182669789229</v>
      </c>
      <c r="AU145" s="6">
        <f t="shared" si="210"/>
        <v>1.913464122547702</v>
      </c>
      <c r="AV145" s="6"/>
      <c r="AW145" s="181">
        <f t="shared" si="211"/>
        <v>0.6853932584269663</v>
      </c>
      <c r="AX145" s="181">
        <f t="shared" si="233"/>
        <v>1.75</v>
      </c>
      <c r="AY145" s="181">
        <f t="shared" si="234"/>
        <v>0.11475409836065574</v>
      </c>
      <c r="AZ145" s="181">
        <f t="shared" si="238"/>
        <v>15.25</v>
      </c>
      <c r="BD145" s="181">
        <f t="shared" si="239"/>
        <v>0.34868997613001712</v>
      </c>
      <c r="BE145" s="181">
        <f t="shared" si="235"/>
        <v>0.23624006908434195</v>
      </c>
      <c r="BG145" s="548">
        <f t="shared" si="212"/>
        <v>4.2554644808743165E-2</v>
      </c>
      <c r="BH145" s="548">
        <f t="shared" si="213"/>
        <v>2.6687499999999999E-2</v>
      </c>
      <c r="BI145" s="548">
        <f t="shared" si="214"/>
        <v>2.0552171442999615E-3</v>
      </c>
      <c r="BJ145" s="548">
        <f t="shared" si="215"/>
        <v>4.6803203124999989E-3</v>
      </c>
      <c r="BK145">
        <f t="shared" si="216"/>
        <v>2.0300000000000001E-3</v>
      </c>
      <c r="BL145" s="474">
        <f t="shared" si="217"/>
        <v>78.007682265543124</v>
      </c>
      <c r="BM145" s="548">
        <f t="shared" si="218"/>
        <v>3.6749999999999998E-2</v>
      </c>
      <c r="BP145" s="474">
        <f t="shared" si="219"/>
        <v>36.75</v>
      </c>
      <c r="BQ145" s="548">
        <f t="shared" si="220"/>
        <v>0</v>
      </c>
      <c r="BR145" s="548">
        <f t="shared" si="221"/>
        <v>0</v>
      </c>
      <c r="BS145" s="548">
        <f t="shared" si="222"/>
        <v>7.8779767900822931E-3</v>
      </c>
      <c r="BT145" s="548">
        <f t="shared" si="223"/>
        <v>9.1875000000000012E-2</v>
      </c>
      <c r="BU145" s="474">
        <f t="shared" si="224"/>
        <v>99.7529767900823</v>
      </c>
      <c r="BV145" s="181">
        <f t="shared" si="225"/>
        <v>0.21451065905562541</v>
      </c>
      <c r="BW145" s="6">
        <f t="shared" si="226"/>
        <v>1.575</v>
      </c>
      <c r="BX145" s="181">
        <f t="shared" si="227"/>
        <v>0.88012887323687217</v>
      </c>
      <c r="BY145" s="6">
        <f t="shared" si="228"/>
        <v>88.01288732368721</v>
      </c>
      <c r="CB145" s="583">
        <f t="shared" si="268"/>
        <v>-50</v>
      </c>
      <c r="CC145">
        <f t="shared" si="269"/>
        <v>-50</v>
      </c>
    </row>
    <row r="146" spans="5:81" x14ac:dyDescent="0.2">
      <c r="E146" s="178">
        <v>36</v>
      </c>
      <c r="F146" s="225">
        <f t="shared" si="270"/>
        <v>0.108</v>
      </c>
      <c r="G146" s="225"/>
      <c r="H146" s="225">
        <f t="shared" si="240"/>
        <v>1.6199999999999999</v>
      </c>
      <c r="I146" s="561">
        <f t="shared" si="241"/>
        <v>7</v>
      </c>
      <c r="J146" s="456">
        <f t="shared" si="242"/>
        <v>15.25</v>
      </c>
      <c r="K146" s="456">
        <f t="shared" si="243"/>
        <v>22.25</v>
      </c>
      <c r="L146" s="456"/>
      <c r="M146" s="225">
        <f t="shared" si="244"/>
        <v>0.6853932584269663</v>
      </c>
      <c r="N146" s="180">
        <f t="shared" si="245"/>
        <v>3.1305337078651685</v>
      </c>
      <c r="O146" s="180">
        <f t="shared" si="236"/>
        <v>1.6199999999999999</v>
      </c>
      <c r="P146" s="225">
        <f t="shared" si="246"/>
        <v>0.20870224719101124</v>
      </c>
      <c r="Q146" s="225">
        <f t="shared" si="247"/>
        <v>15</v>
      </c>
      <c r="R146" s="225"/>
      <c r="S146" s="180">
        <f t="shared" si="248"/>
        <v>35.340836626293502</v>
      </c>
      <c r="T146" s="180">
        <f t="shared" si="249"/>
        <v>15</v>
      </c>
      <c r="U146" s="225">
        <f t="shared" si="250"/>
        <v>0.7503512880562061</v>
      </c>
      <c r="V146" s="225">
        <f t="shared" si="251"/>
        <v>4.2877216460354637</v>
      </c>
      <c r="W146" s="225">
        <f t="shared" si="252"/>
        <v>1.9681345260490657</v>
      </c>
      <c r="X146" s="205">
        <f t="shared" si="253"/>
        <v>350</v>
      </c>
      <c r="Y146" s="456">
        <f t="shared" si="195"/>
        <v>159.8502223344415</v>
      </c>
      <c r="AA146" s="225">
        <f t="shared" si="254"/>
        <v>0.34269662921348309</v>
      </c>
      <c r="AB146" s="181">
        <f t="shared" si="255"/>
        <v>0.89887640449438189</v>
      </c>
      <c r="AC146" s="181">
        <f t="shared" si="256"/>
        <v>5.3907334932458008E-2</v>
      </c>
      <c r="AD146" s="181"/>
      <c r="AE146" s="181">
        <f t="shared" si="257"/>
        <v>0.76065573770491812</v>
      </c>
      <c r="AF146" s="565">
        <f t="shared" si="258"/>
        <v>979.19143876337694</v>
      </c>
      <c r="AG146" s="548">
        <f t="shared" si="259"/>
        <v>3.8603278688524589E-2</v>
      </c>
      <c r="AI146" s="181">
        <f t="shared" si="260"/>
        <v>0.48506258800871693</v>
      </c>
      <c r="AJ146" s="181">
        <f t="shared" si="261"/>
        <v>0.7503512880562061</v>
      </c>
      <c r="AK146" s="181">
        <f t="shared" si="262"/>
        <v>1.5410009541157081</v>
      </c>
      <c r="AM146" s="565">
        <f t="shared" si="263"/>
        <v>108</v>
      </c>
      <c r="AN146" s="474">
        <f t="shared" si="264"/>
        <v>159.8502223344415</v>
      </c>
      <c r="AP146" s="474">
        <f t="shared" si="265"/>
        <v>108</v>
      </c>
      <c r="AQ146" s="474">
        <f t="shared" si="266"/>
        <v>159.8502223344415</v>
      </c>
      <c r="AS146" s="6">
        <f t="shared" si="237"/>
        <v>6.2558561720845285</v>
      </c>
      <c r="AT146" s="6">
        <f t="shared" si="267"/>
        <v>4.2877216460354637</v>
      </c>
      <c r="AU146" s="6">
        <f t="shared" si="210"/>
        <v>1.9681345260490648</v>
      </c>
      <c r="AV146" s="6"/>
      <c r="AW146" s="181">
        <f t="shared" si="211"/>
        <v>0.6853932584269663</v>
      </c>
      <c r="AX146" s="181">
        <f t="shared" si="233"/>
        <v>1.8</v>
      </c>
      <c r="AY146" s="181">
        <f t="shared" si="234"/>
        <v>0.11803278688524591</v>
      </c>
      <c r="AZ146" s="181">
        <f t="shared" si="238"/>
        <v>15.25</v>
      </c>
      <c r="BD146" s="181">
        <f t="shared" si="239"/>
        <v>0.35865254687658904</v>
      </c>
      <c r="BE146" s="181">
        <f t="shared" si="235"/>
        <v>0.24298978534389457</v>
      </c>
      <c r="BG146" s="548">
        <f t="shared" si="212"/>
        <v>4.502107728337236E-2</v>
      </c>
      <c r="BH146" s="548">
        <f t="shared" si="213"/>
        <v>2.6687499999999999E-2</v>
      </c>
      <c r="BI146" s="548">
        <f t="shared" si="214"/>
        <v>1.9981277791805184E-3</v>
      </c>
      <c r="BJ146" s="548">
        <f t="shared" si="215"/>
        <v>4.5503114149305548E-3</v>
      </c>
      <c r="BK146">
        <f t="shared" si="216"/>
        <v>2.0300000000000001E-3</v>
      </c>
      <c r="BL146" s="474">
        <f t="shared" si="217"/>
        <v>80.287016477483434</v>
      </c>
      <c r="BM146" s="548">
        <f t="shared" si="218"/>
        <v>3.78E-2</v>
      </c>
      <c r="BP146" s="474">
        <f t="shared" si="219"/>
        <v>37.799999999999997</v>
      </c>
      <c r="BQ146" s="548">
        <f t="shared" si="220"/>
        <v>0</v>
      </c>
      <c r="BR146" s="548">
        <f t="shared" si="221"/>
        <v>0</v>
      </c>
      <c r="BS146" s="548">
        <f t="shared" si="222"/>
        <v>7.8779767900822775E-3</v>
      </c>
      <c r="BT146" s="548">
        <f t="shared" si="223"/>
        <v>9.4500000000000001E-2</v>
      </c>
      <c r="BU146" s="474">
        <f t="shared" si="224"/>
        <v>102.37797679008227</v>
      </c>
      <c r="BV146" s="181">
        <f t="shared" si="225"/>
        <v>0.22046499326756572</v>
      </c>
      <c r="BW146" s="6">
        <f t="shared" si="226"/>
        <v>1.6199999999999999</v>
      </c>
      <c r="BX146" s="181">
        <f t="shared" si="227"/>
        <v>0.88021234086275568</v>
      </c>
      <c r="BY146" s="6">
        <f t="shared" si="228"/>
        <v>88.02123408627557</v>
      </c>
      <c r="CB146" s="583">
        <f t="shared" si="268"/>
        <v>-50</v>
      </c>
      <c r="CC146">
        <f t="shared" si="269"/>
        <v>-50</v>
      </c>
    </row>
    <row r="147" spans="5:81" x14ac:dyDescent="0.2">
      <c r="E147" s="178">
        <v>37</v>
      </c>
      <c r="F147" s="225">
        <f t="shared" si="270"/>
        <v>0.111</v>
      </c>
      <c r="G147" s="225"/>
      <c r="H147" s="225">
        <f t="shared" si="240"/>
        <v>1.665</v>
      </c>
      <c r="I147" s="561">
        <f t="shared" si="241"/>
        <v>7</v>
      </c>
      <c r="J147" s="456">
        <f t="shared" si="242"/>
        <v>15.25</v>
      </c>
      <c r="K147" s="456">
        <f t="shared" si="243"/>
        <v>22.25</v>
      </c>
      <c r="L147" s="456"/>
      <c r="M147" s="225">
        <f t="shared" si="244"/>
        <v>0.6853932584269663</v>
      </c>
      <c r="N147" s="180">
        <f t="shared" si="245"/>
        <v>3.1305337078651685</v>
      </c>
      <c r="O147" s="180">
        <f t="shared" si="236"/>
        <v>1.665</v>
      </c>
      <c r="P147" s="225">
        <f t="shared" si="246"/>
        <v>0.20870224719101124</v>
      </c>
      <c r="Q147" s="225">
        <f t="shared" si="247"/>
        <v>15</v>
      </c>
      <c r="R147" s="225"/>
      <c r="S147" s="180">
        <f t="shared" si="248"/>
        <v>34.199447721369765</v>
      </c>
      <c r="T147" s="180">
        <f t="shared" si="249"/>
        <v>15</v>
      </c>
      <c r="U147" s="225">
        <f t="shared" si="250"/>
        <v>0.7711943793911008</v>
      </c>
      <c r="V147" s="225">
        <f t="shared" si="251"/>
        <v>4.4068250250920054</v>
      </c>
      <c r="W147" s="225">
        <f t="shared" si="252"/>
        <v>2.0228049295504285</v>
      </c>
      <c r="X147" s="205">
        <f t="shared" si="253"/>
        <v>350</v>
      </c>
      <c r="Y147" s="456">
        <f t="shared" si="195"/>
        <v>155.52994605513223</v>
      </c>
      <c r="AA147" s="225">
        <f t="shared" si="254"/>
        <v>0.34269662921348309</v>
      </c>
      <c r="AB147" s="181">
        <f t="shared" si="255"/>
        <v>0.89887640449438189</v>
      </c>
      <c r="AC147" s="181">
        <f t="shared" si="256"/>
        <v>5.3907334932458008E-2</v>
      </c>
      <c r="AD147" s="181"/>
      <c r="AE147" s="181">
        <f t="shared" si="257"/>
        <v>0.76065573770491812</v>
      </c>
      <c r="AF147" s="565">
        <f t="shared" si="258"/>
        <v>1006.3912009512485</v>
      </c>
      <c r="AG147" s="548">
        <f t="shared" si="259"/>
        <v>3.8603278688524589E-2</v>
      </c>
      <c r="AI147" s="181">
        <f t="shared" si="260"/>
        <v>0.49175342253148435</v>
      </c>
      <c r="AJ147" s="181">
        <f t="shared" si="261"/>
        <v>0.7711943793911008</v>
      </c>
      <c r="AK147" s="181">
        <f t="shared" si="262"/>
        <v>1.556440281030445</v>
      </c>
      <c r="AM147" s="565">
        <f t="shared" si="263"/>
        <v>111</v>
      </c>
      <c r="AN147" s="474">
        <f t="shared" si="264"/>
        <v>155.52994605513223</v>
      </c>
      <c r="AP147" s="474">
        <f t="shared" si="265"/>
        <v>111</v>
      </c>
      <c r="AQ147" s="474">
        <f t="shared" si="266"/>
        <v>155.52994605513223</v>
      </c>
      <c r="AS147" s="6">
        <f t="shared" si="237"/>
        <v>6.4296299546424338</v>
      </c>
      <c r="AT147" s="6">
        <f t="shared" si="267"/>
        <v>4.4068250250920054</v>
      </c>
      <c r="AU147" s="6">
        <f t="shared" si="210"/>
        <v>2.0228049295504285</v>
      </c>
      <c r="AV147" s="6"/>
      <c r="AW147" s="181">
        <f t="shared" si="211"/>
        <v>0.6853932584269663</v>
      </c>
      <c r="AX147" s="181">
        <f t="shared" si="233"/>
        <v>1.8500000000000003</v>
      </c>
      <c r="AY147" s="181">
        <f t="shared" si="234"/>
        <v>0.12131147540983608</v>
      </c>
      <c r="AZ147" s="181">
        <f t="shared" si="238"/>
        <v>15.25</v>
      </c>
      <c r="BD147" s="181">
        <f t="shared" si="239"/>
        <v>0.36861511762316101</v>
      </c>
      <c r="BE147" s="181">
        <f t="shared" si="235"/>
        <v>0.24973950160344721</v>
      </c>
      <c r="BG147" s="548">
        <f t="shared" si="212"/>
        <v>4.7556986729117887E-2</v>
      </c>
      <c r="BH147" s="548">
        <f t="shared" si="213"/>
        <v>2.6687499999999999E-2</v>
      </c>
      <c r="BI147" s="548">
        <f t="shared" si="214"/>
        <v>1.9441243256891525E-3</v>
      </c>
      <c r="BJ147" s="548">
        <f t="shared" si="215"/>
        <v>4.4273300253378362E-3</v>
      </c>
      <c r="BK147">
        <f t="shared" si="216"/>
        <v>2.0300000000000001E-3</v>
      </c>
      <c r="BL147" s="474">
        <f t="shared" si="217"/>
        <v>82.64594108014488</v>
      </c>
      <c r="BM147" s="548">
        <f t="shared" si="218"/>
        <v>3.8849999999999996E-2</v>
      </c>
      <c r="BP147" s="474">
        <f t="shared" si="219"/>
        <v>38.849999999999994</v>
      </c>
      <c r="BQ147" s="548">
        <f t="shared" si="220"/>
        <v>0</v>
      </c>
      <c r="BR147" s="548">
        <f t="shared" si="221"/>
        <v>0</v>
      </c>
      <c r="BS147" s="548">
        <f t="shared" si="222"/>
        <v>7.8779767900822913E-3</v>
      </c>
      <c r="BT147" s="548">
        <f t="shared" si="223"/>
        <v>9.7125000000000017E-2</v>
      </c>
      <c r="BU147" s="474">
        <f t="shared" si="224"/>
        <v>105.0029767900823</v>
      </c>
      <c r="BV147" s="181">
        <f t="shared" si="225"/>
        <v>0.22649891787022719</v>
      </c>
      <c r="BW147" s="6">
        <f t="shared" si="226"/>
        <v>1.665</v>
      </c>
      <c r="BX147" s="181">
        <f t="shared" si="227"/>
        <v>0.88025427044639371</v>
      </c>
      <c r="BY147" s="6">
        <f t="shared" si="228"/>
        <v>88.025427044639372</v>
      </c>
      <c r="CB147" s="583">
        <f t="shared" si="268"/>
        <v>-50</v>
      </c>
      <c r="CC147">
        <f t="shared" si="269"/>
        <v>-50</v>
      </c>
    </row>
    <row r="148" spans="5:81" x14ac:dyDescent="0.2">
      <c r="E148" s="178">
        <v>38</v>
      </c>
      <c r="F148" s="225">
        <f t="shared" si="270"/>
        <v>0.11399999999999999</v>
      </c>
      <c r="G148" s="225"/>
      <c r="H148" s="225">
        <f t="shared" si="240"/>
        <v>1.71</v>
      </c>
      <c r="I148" s="561">
        <f t="shared" si="241"/>
        <v>7</v>
      </c>
      <c r="J148" s="456">
        <f t="shared" si="242"/>
        <v>15.25</v>
      </c>
      <c r="K148" s="456">
        <f t="shared" si="243"/>
        <v>22.25</v>
      </c>
      <c r="L148" s="456"/>
      <c r="M148" s="225">
        <f t="shared" si="244"/>
        <v>0.6853932584269663</v>
      </c>
      <c r="N148" s="180">
        <f t="shared" si="245"/>
        <v>3.1305337078651685</v>
      </c>
      <c r="O148" s="180">
        <f t="shared" si="236"/>
        <v>1.71</v>
      </c>
      <c r="P148" s="225">
        <f t="shared" si="246"/>
        <v>0.20870224719101124</v>
      </c>
      <c r="Q148" s="225">
        <f t="shared" si="247"/>
        <v>15</v>
      </c>
      <c r="R148" s="225"/>
      <c r="S148" s="180">
        <f t="shared" si="248"/>
        <v>33.118234561744295</v>
      </c>
      <c r="T148" s="180">
        <f t="shared" si="249"/>
        <v>15</v>
      </c>
      <c r="U148" s="225">
        <f t="shared" si="250"/>
        <v>0.7920374707259954</v>
      </c>
      <c r="V148" s="225">
        <f t="shared" si="251"/>
        <v>4.5259284041485452</v>
      </c>
      <c r="W148" s="225">
        <f t="shared" si="252"/>
        <v>2.0774753330517912</v>
      </c>
      <c r="X148" s="205">
        <f t="shared" si="253"/>
        <v>350</v>
      </c>
      <c r="Y148" s="456">
        <f t="shared" si="195"/>
        <v>151.43705273789192</v>
      </c>
      <c r="AA148" s="225">
        <f t="shared" si="254"/>
        <v>0.34269662921348309</v>
      </c>
      <c r="AB148" s="181">
        <f t="shared" si="255"/>
        <v>0.89887640449438189</v>
      </c>
      <c r="AC148" s="181">
        <f t="shared" si="256"/>
        <v>5.3907334932458008E-2</v>
      </c>
      <c r="AD148" s="181"/>
      <c r="AE148" s="181">
        <f t="shared" si="257"/>
        <v>0.76065573770491812</v>
      </c>
      <c r="AF148" s="565">
        <f t="shared" si="258"/>
        <v>1033.59096313912</v>
      </c>
      <c r="AG148" s="548">
        <f t="shared" si="259"/>
        <v>3.8603278688524589E-2</v>
      </c>
      <c r="AI148" s="181">
        <f t="shared" si="260"/>
        <v>0.49835443497288434</v>
      </c>
      <c r="AJ148" s="181">
        <f t="shared" si="261"/>
        <v>0.7920374707259954</v>
      </c>
      <c r="AK148" s="181">
        <f t="shared" si="262"/>
        <v>1.5718796079451818</v>
      </c>
      <c r="AM148" s="565">
        <f t="shared" si="263"/>
        <v>113.99999999999999</v>
      </c>
      <c r="AN148" s="474">
        <f t="shared" si="264"/>
        <v>151.43705273789192</v>
      </c>
      <c r="AP148" s="474">
        <f t="shared" si="265"/>
        <v>113.99999999999999</v>
      </c>
      <c r="AQ148" s="474">
        <f t="shared" si="266"/>
        <v>151.43705273789192</v>
      </c>
      <c r="AS148" s="6">
        <f t="shared" si="237"/>
        <v>6.6034037372003374</v>
      </c>
      <c r="AT148" s="6">
        <f t="shared" si="267"/>
        <v>4.5259284041485452</v>
      </c>
      <c r="AU148" s="6">
        <f t="shared" si="210"/>
        <v>2.0774753330517921</v>
      </c>
      <c r="AV148" s="6"/>
      <c r="AW148" s="181">
        <f t="shared" si="211"/>
        <v>0.68539325842696619</v>
      </c>
      <c r="AX148" s="181">
        <f t="shared" si="233"/>
        <v>1.9000000000000004</v>
      </c>
      <c r="AY148" s="181">
        <f t="shared" si="234"/>
        <v>0.12459016393442628</v>
      </c>
      <c r="AZ148" s="181">
        <f t="shared" si="238"/>
        <v>15.249999999999996</v>
      </c>
      <c r="BD148" s="181">
        <f t="shared" si="239"/>
        <v>0.37857768836973293</v>
      </c>
      <c r="BE148" s="181">
        <f t="shared" si="235"/>
        <v>0.25648921786299989</v>
      </c>
      <c r="BG148" s="548">
        <f t="shared" si="212"/>
        <v>5.0162373145979718E-2</v>
      </c>
      <c r="BH148" s="548">
        <f t="shared" si="213"/>
        <v>2.6687499999999996E-2</v>
      </c>
      <c r="BI148" s="548">
        <f t="shared" si="214"/>
        <v>1.8929631592236489E-3</v>
      </c>
      <c r="BJ148" s="548">
        <f t="shared" si="215"/>
        <v>4.3108213404605255E-3</v>
      </c>
      <c r="BK148">
        <f t="shared" si="216"/>
        <v>2.0300000000000001E-3</v>
      </c>
      <c r="BL148" s="474">
        <f t="shared" si="217"/>
        <v>85.083657645663891</v>
      </c>
      <c r="BM148" s="548">
        <f t="shared" si="218"/>
        <v>3.9899999999999991E-2</v>
      </c>
      <c r="BP148" s="474">
        <f t="shared" si="219"/>
        <v>39.899999999999991</v>
      </c>
      <c r="BQ148" s="548">
        <f t="shared" si="220"/>
        <v>0</v>
      </c>
      <c r="BR148" s="548">
        <f t="shared" si="221"/>
        <v>0</v>
      </c>
      <c r="BS148" s="548">
        <f t="shared" si="222"/>
        <v>7.8779767900822757E-3</v>
      </c>
      <c r="BT148" s="548">
        <f t="shared" si="223"/>
        <v>9.9750000000000019E-2</v>
      </c>
      <c r="BU148" s="474">
        <f t="shared" si="224"/>
        <v>107.62797679008229</v>
      </c>
      <c r="BV148" s="181">
        <f t="shared" si="225"/>
        <v>0.23261163443574617</v>
      </c>
      <c r="BW148" s="6">
        <f t="shared" si="226"/>
        <v>1.71</v>
      </c>
      <c r="BX148" s="181">
        <f t="shared" si="227"/>
        <v>0.88025829233576536</v>
      </c>
      <c r="BY148" s="6">
        <f t="shared" si="228"/>
        <v>88.02582923357653</v>
      </c>
      <c r="CB148" s="583">
        <f t="shared" si="268"/>
        <v>-50</v>
      </c>
      <c r="CC148">
        <f t="shared" si="269"/>
        <v>-50</v>
      </c>
    </row>
    <row r="149" spans="5:81" x14ac:dyDescent="0.2">
      <c r="E149" s="178">
        <v>39</v>
      </c>
      <c r="F149" s="225">
        <f t="shared" si="270"/>
        <v>0.11699999999999999</v>
      </c>
      <c r="G149" s="225"/>
      <c r="H149" s="225">
        <f t="shared" si="240"/>
        <v>1.7549999999999999</v>
      </c>
      <c r="I149" s="561">
        <f t="shared" si="241"/>
        <v>7</v>
      </c>
      <c r="J149" s="456">
        <f t="shared" si="242"/>
        <v>15.25</v>
      </c>
      <c r="K149" s="456">
        <f t="shared" si="243"/>
        <v>22.25</v>
      </c>
      <c r="L149" s="456"/>
      <c r="M149" s="225">
        <f t="shared" si="244"/>
        <v>0.6853932584269663</v>
      </c>
      <c r="N149" s="180">
        <f t="shared" si="245"/>
        <v>3.1305337078651685</v>
      </c>
      <c r="O149" s="180">
        <f t="shared" si="236"/>
        <v>1.7549999999999999</v>
      </c>
      <c r="P149" s="225">
        <f t="shared" si="246"/>
        <v>0.20870224719101124</v>
      </c>
      <c r="Q149" s="225">
        <f t="shared" si="247"/>
        <v>15</v>
      </c>
      <c r="R149" s="225"/>
      <c r="S149" s="180">
        <f t="shared" si="248"/>
        <v>32.092569793037434</v>
      </c>
      <c r="T149" s="180">
        <f t="shared" si="249"/>
        <v>15</v>
      </c>
      <c r="U149" s="225">
        <f t="shared" si="250"/>
        <v>0.81288056206088999</v>
      </c>
      <c r="V149" s="225">
        <f t="shared" si="251"/>
        <v>4.6450317832050851</v>
      </c>
      <c r="W149" s="225">
        <f t="shared" si="252"/>
        <v>2.1321457365531544</v>
      </c>
      <c r="X149" s="205">
        <f t="shared" si="253"/>
        <v>350</v>
      </c>
      <c r="Y149" s="456">
        <f t="shared" si="195"/>
        <v>147.5540513856383</v>
      </c>
      <c r="AA149" s="225">
        <f t="shared" si="254"/>
        <v>0.34269662921348309</v>
      </c>
      <c r="AB149" s="181">
        <f t="shared" si="255"/>
        <v>0.89887640449438189</v>
      </c>
      <c r="AC149" s="181">
        <f t="shared" si="256"/>
        <v>5.3907334932458008E-2</v>
      </c>
      <c r="AD149" s="181"/>
      <c r="AE149" s="181">
        <f t="shared" si="257"/>
        <v>0.76065573770491812</v>
      </c>
      <c r="AF149" s="565">
        <f t="shared" si="258"/>
        <v>1060.7907253269916</v>
      </c>
      <c r="AG149" s="548">
        <f t="shared" si="259"/>
        <v>3.8603278688524589E-2</v>
      </c>
      <c r="AI149" s="181">
        <f t="shared" si="260"/>
        <v>0.50486914853539733</v>
      </c>
      <c r="AJ149" s="181">
        <f t="shared" si="261"/>
        <v>0.81288056206088999</v>
      </c>
      <c r="AK149" s="181">
        <f t="shared" si="262"/>
        <v>1.5873189348599186</v>
      </c>
      <c r="AM149" s="565">
        <f t="shared" si="263"/>
        <v>117</v>
      </c>
      <c r="AN149" s="474">
        <f t="shared" si="264"/>
        <v>147.5540513856383</v>
      </c>
      <c r="AP149" s="474">
        <f t="shared" si="265"/>
        <v>117</v>
      </c>
      <c r="AQ149" s="474">
        <f t="shared" si="266"/>
        <v>147.5540513856383</v>
      </c>
      <c r="AS149" s="6">
        <f t="shared" si="237"/>
        <v>6.77717751975824</v>
      </c>
      <c r="AT149" s="6">
        <f t="shared" si="267"/>
        <v>4.6450317832050851</v>
      </c>
      <c r="AU149" s="6">
        <f t="shared" si="210"/>
        <v>2.1321457365531549</v>
      </c>
      <c r="AV149" s="6"/>
      <c r="AW149" s="181">
        <f t="shared" si="211"/>
        <v>0.68539325842696619</v>
      </c>
      <c r="AX149" s="181">
        <f t="shared" si="233"/>
        <v>1.9500000000000006</v>
      </c>
      <c r="AY149" s="181">
        <f t="shared" si="234"/>
        <v>0.12786885245901644</v>
      </c>
      <c r="AZ149" s="181">
        <f t="shared" si="238"/>
        <v>15.25</v>
      </c>
      <c r="BD149" s="181">
        <f t="shared" si="239"/>
        <v>0.3885402591163048</v>
      </c>
      <c r="BE149" s="181">
        <f t="shared" si="235"/>
        <v>0.2632389341225525</v>
      </c>
      <c r="BG149" s="548">
        <f t="shared" si="212"/>
        <v>5.2837236533957846E-2</v>
      </c>
      <c r="BH149" s="548">
        <f t="shared" si="213"/>
        <v>2.6687500000000006E-2</v>
      </c>
      <c r="BI149" s="548">
        <f t="shared" si="214"/>
        <v>1.8444256423204787E-3</v>
      </c>
      <c r="BJ149" s="548">
        <f t="shared" si="215"/>
        <v>4.2002874599358963E-3</v>
      </c>
      <c r="BK149">
        <f t="shared" si="216"/>
        <v>2.0300000000000001E-3</v>
      </c>
      <c r="BL149" s="474">
        <f t="shared" si="217"/>
        <v>87.599449636214231</v>
      </c>
      <c r="BM149" s="548">
        <f t="shared" si="218"/>
        <v>4.0949999999999993E-2</v>
      </c>
      <c r="BP149" s="474">
        <f t="shared" si="219"/>
        <v>40.949999999999996</v>
      </c>
      <c r="BQ149" s="548">
        <f t="shared" si="220"/>
        <v>0</v>
      </c>
      <c r="BR149" s="548">
        <f t="shared" si="221"/>
        <v>0</v>
      </c>
      <c r="BS149" s="548">
        <f t="shared" si="222"/>
        <v>7.8779767900822723E-3</v>
      </c>
      <c r="BT149" s="548">
        <f t="shared" si="223"/>
        <v>0.10237500000000002</v>
      </c>
      <c r="BU149" s="474">
        <f t="shared" si="224"/>
        <v>110.2529767900823</v>
      </c>
      <c r="BV149" s="181">
        <f t="shared" si="225"/>
        <v>0.23880242642629654</v>
      </c>
      <c r="BW149" s="6">
        <f t="shared" si="226"/>
        <v>1.7549999999999999</v>
      </c>
      <c r="BX149" s="181">
        <f t="shared" si="227"/>
        <v>0.88022763777335378</v>
      </c>
      <c r="BY149" s="6">
        <f t="shared" si="228"/>
        <v>88.022763777335371</v>
      </c>
      <c r="CB149" s="583">
        <f t="shared" si="268"/>
        <v>-50</v>
      </c>
      <c r="CC149">
        <f t="shared" si="269"/>
        <v>-50</v>
      </c>
    </row>
    <row r="150" spans="5:81" x14ac:dyDescent="0.2">
      <c r="E150" s="178">
        <v>40</v>
      </c>
      <c r="F150" s="225">
        <f t="shared" si="270"/>
        <v>0.12</v>
      </c>
      <c r="G150" s="225"/>
      <c r="H150" s="225">
        <f t="shared" si="240"/>
        <v>1.7999999999999998</v>
      </c>
      <c r="I150" s="561">
        <f t="shared" si="241"/>
        <v>7</v>
      </c>
      <c r="J150" s="456">
        <f t="shared" si="242"/>
        <v>15.25</v>
      </c>
      <c r="K150" s="456">
        <f t="shared" si="243"/>
        <v>22.25</v>
      </c>
      <c r="L150" s="456"/>
      <c r="M150" s="225">
        <f t="shared" si="244"/>
        <v>0.6853932584269663</v>
      </c>
      <c r="N150" s="180">
        <f t="shared" si="245"/>
        <v>3.1305337078651685</v>
      </c>
      <c r="O150" s="180">
        <f t="shared" si="236"/>
        <v>1.7999999999999998</v>
      </c>
      <c r="P150" s="225">
        <f t="shared" si="246"/>
        <v>0.20870224719101124</v>
      </c>
      <c r="Q150" s="225">
        <f t="shared" si="247"/>
        <v>15</v>
      </c>
      <c r="R150" s="225"/>
      <c r="S150" s="180">
        <f t="shared" si="248"/>
        <v>31.118288825769877</v>
      </c>
      <c r="T150" s="180">
        <f t="shared" si="249"/>
        <v>15</v>
      </c>
      <c r="U150" s="225">
        <f t="shared" si="250"/>
        <v>0.83372365339578447</v>
      </c>
      <c r="V150" s="225">
        <f t="shared" si="251"/>
        <v>4.7641351622616268</v>
      </c>
      <c r="W150" s="225">
        <f t="shared" si="252"/>
        <v>2.1868161400545167</v>
      </c>
      <c r="X150" s="205">
        <f t="shared" si="253"/>
        <v>350</v>
      </c>
      <c r="Y150" s="456">
        <f t="shared" si="195"/>
        <v>143.86520010099733</v>
      </c>
      <c r="AA150" s="225">
        <f t="shared" si="254"/>
        <v>0.34269662921348309</v>
      </c>
      <c r="AB150" s="181">
        <f t="shared" si="255"/>
        <v>0.89887640449438189</v>
      </c>
      <c r="AC150" s="181">
        <f t="shared" si="256"/>
        <v>5.3907334932458008E-2</v>
      </c>
      <c r="AD150" s="181"/>
      <c r="AE150" s="181">
        <f t="shared" si="257"/>
        <v>0.76065573770491812</v>
      </c>
      <c r="AF150" s="565">
        <f t="shared" si="258"/>
        <v>1087.9904875148632</v>
      </c>
      <c r="AG150" s="548">
        <f t="shared" si="259"/>
        <v>3.8603278688524589E-2</v>
      </c>
      <c r="AI150" s="181">
        <f t="shared" si="260"/>
        <v>0.51130086194780799</v>
      </c>
      <c r="AJ150" s="181">
        <f t="shared" si="261"/>
        <v>0.83372365339578447</v>
      </c>
      <c r="AK150" s="181">
        <f t="shared" si="262"/>
        <v>1.6027582617746552</v>
      </c>
      <c r="AM150" s="565">
        <f t="shared" si="263"/>
        <v>120</v>
      </c>
      <c r="AN150" s="474">
        <f t="shared" si="264"/>
        <v>143.86520010099733</v>
      </c>
      <c r="AP150" s="474">
        <f t="shared" si="265"/>
        <v>120</v>
      </c>
      <c r="AQ150" s="474">
        <f t="shared" si="266"/>
        <v>143.86520010099733</v>
      </c>
      <c r="AS150" s="6">
        <f t="shared" si="237"/>
        <v>6.9509513023161436</v>
      </c>
      <c r="AT150" s="6">
        <f t="shared" si="267"/>
        <v>4.7641351622616268</v>
      </c>
      <c r="AU150" s="6">
        <f t="shared" si="210"/>
        <v>2.1868161400545167</v>
      </c>
      <c r="AV150" s="6"/>
      <c r="AW150" s="181">
        <f t="shared" si="211"/>
        <v>0.6853932584269663</v>
      </c>
      <c r="AX150" s="181">
        <f t="shared" si="233"/>
        <v>1.9999999999999996</v>
      </c>
      <c r="AY150" s="181">
        <f t="shared" si="234"/>
        <v>0.13114754098360654</v>
      </c>
      <c r="AZ150" s="181">
        <f t="shared" si="238"/>
        <v>15.249999999999998</v>
      </c>
      <c r="BD150" s="181">
        <f t="shared" si="239"/>
        <v>0.39850282986287666</v>
      </c>
      <c r="BE150" s="181">
        <f t="shared" si="235"/>
        <v>0.26998865038210507</v>
      </c>
      <c r="BG150" s="548">
        <f t="shared" si="212"/>
        <v>5.5581576893052285E-2</v>
      </c>
      <c r="BH150" s="548">
        <f t="shared" si="213"/>
        <v>2.6687499999999996E-2</v>
      </c>
      <c r="BI150" s="548">
        <f t="shared" si="214"/>
        <v>1.7983150012624667E-3</v>
      </c>
      <c r="BJ150" s="548">
        <f t="shared" si="215"/>
        <v>4.095280273437499E-3</v>
      </c>
      <c r="BK150">
        <f t="shared" si="216"/>
        <v>2.0300000000000001E-3</v>
      </c>
      <c r="BL150" s="474">
        <f t="shared" si="217"/>
        <v>90.192672167752264</v>
      </c>
      <c r="BM150" s="548">
        <f t="shared" si="218"/>
        <v>4.1999999999999996E-2</v>
      </c>
      <c r="BP150" s="474">
        <f t="shared" si="219"/>
        <v>41.999999999999993</v>
      </c>
      <c r="BQ150" s="548">
        <f t="shared" si="220"/>
        <v>0</v>
      </c>
      <c r="BR150" s="548">
        <f t="shared" si="221"/>
        <v>0</v>
      </c>
      <c r="BS150" s="548">
        <f t="shared" si="222"/>
        <v>7.8779767900822879E-3</v>
      </c>
      <c r="BT150" s="548">
        <f t="shared" si="223"/>
        <v>0.10499999999999998</v>
      </c>
      <c r="BU150" s="474">
        <f t="shared" si="224"/>
        <v>112.87797679008227</v>
      </c>
      <c r="BV150" s="181">
        <f t="shared" si="225"/>
        <v>0.24507064895783454</v>
      </c>
      <c r="BW150" s="6">
        <f t="shared" si="226"/>
        <v>1.7999999999999998</v>
      </c>
      <c r="BX150" s="181">
        <f t="shared" si="227"/>
        <v>0.88016519180756791</v>
      </c>
      <c r="BY150" s="6">
        <f t="shared" si="228"/>
        <v>88.016519180756788</v>
      </c>
      <c r="CB150" s="583">
        <f t="shared" si="268"/>
        <v>-50</v>
      </c>
      <c r="CC150">
        <f t="shared" si="269"/>
        <v>-50</v>
      </c>
    </row>
    <row r="151" spans="5:81" x14ac:dyDescent="0.2">
      <c r="E151" s="178">
        <v>41</v>
      </c>
      <c r="F151" s="225">
        <f t="shared" si="270"/>
        <v>0.12299999999999998</v>
      </c>
      <c r="G151" s="225"/>
      <c r="H151" s="225">
        <f t="shared" si="240"/>
        <v>1.8449999999999998</v>
      </c>
      <c r="I151" s="561">
        <f t="shared" si="241"/>
        <v>7</v>
      </c>
      <c r="J151" s="456">
        <f t="shared" si="242"/>
        <v>15.25</v>
      </c>
      <c r="K151" s="456">
        <f t="shared" si="243"/>
        <v>22.25</v>
      </c>
      <c r="L151" s="456"/>
      <c r="M151" s="225">
        <f t="shared" si="244"/>
        <v>0.6853932584269663</v>
      </c>
      <c r="N151" s="180">
        <f t="shared" si="245"/>
        <v>3.1305337078651685</v>
      </c>
      <c r="O151" s="180">
        <f t="shared" si="236"/>
        <v>1.8449999999999998</v>
      </c>
      <c r="P151" s="225">
        <f t="shared" si="246"/>
        <v>0.20870224719101124</v>
      </c>
      <c r="Q151" s="225">
        <f t="shared" si="247"/>
        <v>15</v>
      </c>
      <c r="R151" s="225"/>
      <c r="S151" s="180">
        <f t="shared" si="248"/>
        <v>30.19163340127168</v>
      </c>
      <c r="T151" s="180">
        <f t="shared" si="249"/>
        <v>15</v>
      </c>
      <c r="U151" s="225">
        <f t="shared" si="250"/>
        <v>0.85456674473067906</v>
      </c>
      <c r="V151" s="225">
        <f t="shared" si="251"/>
        <v>4.8832385413181667</v>
      </c>
      <c r="W151" s="225">
        <f t="shared" si="252"/>
        <v>2.24148654355588</v>
      </c>
      <c r="X151" s="205">
        <f t="shared" si="253"/>
        <v>350</v>
      </c>
      <c r="Y151" s="456">
        <f t="shared" si="195"/>
        <v>140.35629278146081</v>
      </c>
      <c r="AA151" s="225">
        <f t="shared" si="254"/>
        <v>0.34269662921348309</v>
      </c>
      <c r="AB151" s="181">
        <f t="shared" si="255"/>
        <v>0.89887640449438189</v>
      </c>
      <c r="AC151" s="181">
        <f t="shared" si="256"/>
        <v>5.3907334932458008E-2</v>
      </c>
      <c r="AD151" s="181"/>
      <c r="AE151" s="181">
        <f t="shared" si="257"/>
        <v>0.76065573770491812</v>
      </c>
      <c r="AF151" s="565">
        <f t="shared" si="258"/>
        <v>1115.1902497027347</v>
      </c>
      <c r="AG151" s="548">
        <f t="shared" si="259"/>
        <v>3.8603278688524589E-2</v>
      </c>
      <c r="AI151" s="181">
        <f t="shared" si="260"/>
        <v>0.51765266899175322</v>
      </c>
      <c r="AJ151" s="181">
        <f t="shared" si="261"/>
        <v>0.85456674473067906</v>
      </c>
      <c r="AK151" s="181">
        <f t="shared" si="262"/>
        <v>1.6181975886893918</v>
      </c>
      <c r="AM151" s="565">
        <f t="shared" si="263"/>
        <v>122.99999999999999</v>
      </c>
      <c r="AN151" s="474">
        <f t="shared" si="264"/>
        <v>140.35629278146081</v>
      </c>
      <c r="AP151" s="474">
        <f t="shared" si="265"/>
        <v>122.99999999999999</v>
      </c>
      <c r="AQ151" s="474">
        <f t="shared" si="266"/>
        <v>140.35629278146081</v>
      </c>
      <c r="AS151" s="6">
        <f t="shared" si="237"/>
        <v>7.1247250848740471</v>
      </c>
      <c r="AT151" s="6">
        <f t="shared" si="267"/>
        <v>4.8832385413181667</v>
      </c>
      <c r="AU151" s="6">
        <f t="shared" si="210"/>
        <v>2.2414865435558804</v>
      </c>
      <c r="AV151" s="6"/>
      <c r="AW151" s="181">
        <f t="shared" si="211"/>
        <v>0.68539325842696619</v>
      </c>
      <c r="AX151" s="181">
        <f t="shared" si="233"/>
        <v>2.0499999999999998</v>
      </c>
      <c r="AY151" s="181">
        <f t="shared" si="234"/>
        <v>0.13442622950819674</v>
      </c>
      <c r="AZ151" s="181">
        <f t="shared" si="238"/>
        <v>15.249999999999996</v>
      </c>
      <c r="BD151" s="181">
        <f t="shared" si="239"/>
        <v>0.40846540060944858</v>
      </c>
      <c r="BE151" s="181">
        <f t="shared" si="235"/>
        <v>0.27673836664165768</v>
      </c>
      <c r="BG151" s="548">
        <f t="shared" si="212"/>
        <v>5.8395394223263057E-2</v>
      </c>
      <c r="BH151" s="548">
        <f t="shared" si="213"/>
        <v>2.6687499999999992E-2</v>
      </c>
      <c r="BI151" s="548">
        <f t="shared" si="214"/>
        <v>1.75445365976826E-3</v>
      </c>
      <c r="BJ151" s="548">
        <f t="shared" si="215"/>
        <v>3.9953953887195111E-3</v>
      </c>
      <c r="BK151">
        <f t="shared" si="216"/>
        <v>2.0300000000000001E-3</v>
      </c>
      <c r="BL151" s="474">
        <f t="shared" si="217"/>
        <v>92.86274327175083</v>
      </c>
      <c r="BM151" s="548">
        <f t="shared" si="218"/>
        <v>4.3049999999999991E-2</v>
      </c>
      <c r="BP151" s="474">
        <f t="shared" si="219"/>
        <v>43.04999999999999</v>
      </c>
      <c r="BQ151" s="548">
        <f t="shared" si="220"/>
        <v>0</v>
      </c>
      <c r="BR151" s="548">
        <f t="shared" si="221"/>
        <v>0</v>
      </c>
      <c r="BS151" s="548">
        <f t="shared" si="222"/>
        <v>7.8779767900822775E-3</v>
      </c>
      <c r="BT151" s="548">
        <f t="shared" si="223"/>
        <v>0.10762499999999998</v>
      </c>
      <c r="BU151" s="474">
        <f t="shared" si="224"/>
        <v>115.50297679008226</v>
      </c>
      <c r="BV151" s="181">
        <f t="shared" si="225"/>
        <v>0.2514157200618331</v>
      </c>
      <c r="BW151" s="6">
        <f t="shared" si="226"/>
        <v>1.8449999999999998</v>
      </c>
      <c r="BX151" s="181">
        <f t="shared" si="227"/>
        <v>0.88007353806027666</v>
      </c>
      <c r="BY151" s="6">
        <f t="shared" si="228"/>
        <v>88.007353806027666</v>
      </c>
      <c r="CB151" s="583">
        <f t="shared" si="268"/>
        <v>-50</v>
      </c>
      <c r="CC151">
        <f t="shared" si="269"/>
        <v>-50</v>
      </c>
    </row>
    <row r="152" spans="5:81" x14ac:dyDescent="0.2">
      <c r="E152" s="178">
        <v>42</v>
      </c>
      <c r="F152" s="225">
        <f t="shared" si="270"/>
        <v>0.126</v>
      </c>
      <c r="G152" s="225"/>
      <c r="H152" s="225">
        <f t="shared" si="240"/>
        <v>1.8900000000000001</v>
      </c>
      <c r="I152" s="561">
        <f t="shared" si="241"/>
        <v>7</v>
      </c>
      <c r="J152" s="456">
        <f t="shared" si="242"/>
        <v>15.25</v>
      </c>
      <c r="K152" s="456">
        <f t="shared" si="243"/>
        <v>22.25</v>
      </c>
      <c r="L152" s="456"/>
      <c r="M152" s="225">
        <f t="shared" si="244"/>
        <v>0.6853932584269663</v>
      </c>
      <c r="N152" s="180">
        <f t="shared" si="245"/>
        <v>3.1305337078651685</v>
      </c>
      <c r="O152" s="180">
        <f t="shared" si="236"/>
        <v>1.8900000000000001</v>
      </c>
      <c r="P152" s="225">
        <f t="shared" si="246"/>
        <v>0.20870224719101124</v>
      </c>
      <c r="Q152" s="225">
        <f t="shared" si="247"/>
        <v>15</v>
      </c>
      <c r="R152" s="225"/>
      <c r="S152" s="180">
        <f t="shared" si="248"/>
        <v>29.309203219619896</v>
      </c>
      <c r="T152" s="180">
        <f t="shared" si="249"/>
        <v>15</v>
      </c>
      <c r="U152" s="225">
        <f t="shared" si="250"/>
        <v>0.87540983606557388</v>
      </c>
      <c r="V152" s="225">
        <f t="shared" si="251"/>
        <v>5.0023419203747075</v>
      </c>
      <c r="W152" s="225">
        <f t="shared" si="252"/>
        <v>2.2961569470572427</v>
      </c>
      <c r="X152" s="205">
        <f t="shared" si="253"/>
        <v>350</v>
      </c>
      <c r="Y152" s="456">
        <f t="shared" si="195"/>
        <v>137.01447628666412</v>
      </c>
      <c r="AA152" s="225">
        <f t="shared" si="254"/>
        <v>0.34269662921348309</v>
      </c>
      <c r="AB152" s="181">
        <f t="shared" si="255"/>
        <v>0.89887640449438189</v>
      </c>
      <c r="AC152" s="181">
        <f t="shared" si="256"/>
        <v>5.3907334932458008E-2</v>
      </c>
      <c r="AD152" s="181"/>
      <c r="AE152" s="181">
        <f t="shared" si="257"/>
        <v>0.76065573770491812</v>
      </c>
      <c r="AF152" s="565">
        <f t="shared" si="258"/>
        <v>1142.3900118906065</v>
      </c>
      <c r="AG152" s="548">
        <f t="shared" si="259"/>
        <v>3.8603278688524589E-2</v>
      </c>
      <c r="AI152" s="181">
        <f t="shared" si="260"/>
        <v>0.52392747589718947</v>
      </c>
      <c r="AJ152" s="181">
        <f t="shared" si="261"/>
        <v>0.87540983606557388</v>
      </c>
      <c r="AK152" s="181">
        <f t="shared" si="262"/>
        <v>1.6336369156041288</v>
      </c>
      <c r="AM152" s="565">
        <f t="shared" si="263"/>
        <v>126</v>
      </c>
      <c r="AN152" s="474">
        <f t="shared" si="264"/>
        <v>137.01447628666412</v>
      </c>
      <c r="AP152" s="474">
        <f t="shared" si="265"/>
        <v>126</v>
      </c>
      <c r="AQ152" s="474">
        <f t="shared" si="266"/>
        <v>137.01447628666412</v>
      </c>
      <c r="AS152" s="6">
        <f t="shared" si="237"/>
        <v>7.2984988674319515</v>
      </c>
      <c r="AT152" s="6">
        <f t="shared" si="267"/>
        <v>5.0023419203747075</v>
      </c>
      <c r="AU152" s="6">
        <f t="shared" si="210"/>
        <v>2.296156947057244</v>
      </c>
      <c r="AV152" s="6"/>
      <c r="AW152" s="181">
        <f t="shared" si="211"/>
        <v>0.68539325842696619</v>
      </c>
      <c r="AX152" s="181">
        <f t="shared" si="233"/>
        <v>2.1</v>
      </c>
      <c r="AY152" s="181">
        <f t="shared" si="234"/>
        <v>0.13770491803278695</v>
      </c>
      <c r="AZ152" s="181">
        <f t="shared" si="238"/>
        <v>15.249999999999993</v>
      </c>
      <c r="BD152" s="181">
        <f t="shared" si="239"/>
        <v>0.41842797135602061</v>
      </c>
      <c r="BE152" s="181">
        <f t="shared" si="235"/>
        <v>0.28348808290121041</v>
      </c>
      <c r="BG152" s="548">
        <f t="shared" si="212"/>
        <v>6.1278688524590182E-2</v>
      </c>
      <c r="BH152" s="548">
        <f t="shared" si="213"/>
        <v>2.6687499999999999E-2</v>
      </c>
      <c r="BI152" s="548">
        <f t="shared" si="214"/>
        <v>1.7126809535833014E-3</v>
      </c>
      <c r="BJ152" s="548">
        <f t="shared" si="215"/>
        <v>3.9002669270833327E-3</v>
      </c>
      <c r="BK152">
        <f t="shared" si="216"/>
        <v>2.0300000000000001E-3</v>
      </c>
      <c r="BL152" s="474">
        <f t="shared" si="217"/>
        <v>95.609136405256805</v>
      </c>
      <c r="BM152" s="548">
        <f t="shared" si="218"/>
        <v>4.41E-2</v>
      </c>
      <c r="BP152" s="474">
        <f t="shared" si="219"/>
        <v>44.1</v>
      </c>
      <c r="BQ152" s="548">
        <f t="shared" si="220"/>
        <v>0</v>
      </c>
      <c r="BR152" s="548">
        <f t="shared" si="221"/>
        <v>0</v>
      </c>
      <c r="BS152" s="548">
        <f t="shared" si="222"/>
        <v>7.8779767900822879E-3</v>
      </c>
      <c r="BT152" s="548">
        <f t="shared" si="223"/>
        <v>0.11025000000000001</v>
      </c>
      <c r="BU152" s="474">
        <f t="shared" si="224"/>
        <v>118.1279767900823</v>
      </c>
      <c r="BV152" s="181">
        <f t="shared" si="225"/>
        <v>0.25783711319533908</v>
      </c>
      <c r="BW152" s="6">
        <f t="shared" si="226"/>
        <v>1.8900000000000001</v>
      </c>
      <c r="BX152" s="181">
        <f t="shared" si="227"/>
        <v>0.87995499676800226</v>
      </c>
      <c r="BY152" s="6">
        <f t="shared" si="228"/>
        <v>87.995499676800222</v>
      </c>
      <c r="CB152" s="583">
        <f t="shared" si="268"/>
        <v>-50</v>
      </c>
      <c r="CC152">
        <f t="shared" si="269"/>
        <v>-50</v>
      </c>
    </row>
    <row r="153" spans="5:81" x14ac:dyDescent="0.2">
      <c r="E153" s="178">
        <v>43</v>
      </c>
      <c r="F153" s="225">
        <f t="shared" si="270"/>
        <v>0.129</v>
      </c>
      <c r="G153" s="225"/>
      <c r="H153" s="225">
        <f t="shared" si="240"/>
        <v>1.9350000000000001</v>
      </c>
      <c r="I153" s="561">
        <f t="shared" si="241"/>
        <v>7</v>
      </c>
      <c r="J153" s="456">
        <f t="shared" si="242"/>
        <v>15.25</v>
      </c>
      <c r="K153" s="456">
        <f t="shared" si="243"/>
        <v>22.25</v>
      </c>
      <c r="L153" s="456"/>
      <c r="M153" s="225">
        <f t="shared" si="244"/>
        <v>0.6853932584269663</v>
      </c>
      <c r="N153" s="180">
        <f t="shared" si="245"/>
        <v>3.1305337078651685</v>
      </c>
      <c r="O153" s="180">
        <f t="shared" si="236"/>
        <v>1.9350000000000001</v>
      </c>
      <c r="P153" s="225">
        <f t="shared" si="246"/>
        <v>0.20870224719101124</v>
      </c>
      <c r="Q153" s="225">
        <f t="shared" si="247"/>
        <v>15</v>
      </c>
      <c r="R153" s="225"/>
      <c r="S153" s="180">
        <f t="shared" si="248"/>
        <v>28.467914317182178</v>
      </c>
      <c r="T153" s="180">
        <f t="shared" si="249"/>
        <v>15</v>
      </c>
      <c r="U153" s="225">
        <f t="shared" si="250"/>
        <v>0.89625292740046847</v>
      </c>
      <c r="V153" s="225">
        <f t="shared" si="251"/>
        <v>5.1214452994312492</v>
      </c>
      <c r="W153" s="225">
        <f t="shared" si="252"/>
        <v>2.3508273505586064</v>
      </c>
      <c r="X153" s="205">
        <f t="shared" si="253"/>
        <v>350</v>
      </c>
      <c r="Y153" s="456">
        <f t="shared" si="195"/>
        <v>133.82809311720678</v>
      </c>
      <c r="AA153" s="225">
        <f t="shared" si="254"/>
        <v>0.34269662921348309</v>
      </c>
      <c r="AB153" s="181">
        <f t="shared" si="255"/>
        <v>0.89887640449438189</v>
      </c>
      <c r="AC153" s="181">
        <f t="shared" si="256"/>
        <v>5.3907334932458008E-2</v>
      </c>
      <c r="AD153" s="181"/>
      <c r="AE153" s="181">
        <f t="shared" si="257"/>
        <v>0.76065573770491812</v>
      </c>
      <c r="AF153" s="565">
        <f t="shared" si="258"/>
        <v>1169.5897740784781</v>
      </c>
      <c r="AG153" s="548">
        <f t="shared" si="259"/>
        <v>3.8603278688524589E-2</v>
      </c>
      <c r="AI153" s="181">
        <f t="shared" si="260"/>
        <v>0.53012801688433175</v>
      </c>
      <c r="AJ153" s="181">
        <f t="shared" si="261"/>
        <v>0.89625292740046847</v>
      </c>
      <c r="AK153" s="181">
        <f t="shared" si="262"/>
        <v>1.6490762425188654</v>
      </c>
      <c r="AM153" s="565">
        <f t="shared" si="263"/>
        <v>129</v>
      </c>
      <c r="AN153" s="474">
        <f t="shared" si="264"/>
        <v>133.82809311720678</v>
      </c>
      <c r="AP153" s="474">
        <f t="shared" si="265"/>
        <v>129</v>
      </c>
      <c r="AQ153" s="474">
        <f t="shared" si="266"/>
        <v>133.82809311720678</v>
      </c>
      <c r="AS153" s="6">
        <f t="shared" si="237"/>
        <v>7.4722726499898569</v>
      </c>
      <c r="AT153" s="6">
        <f t="shared" si="267"/>
        <v>5.1214452994312492</v>
      </c>
      <c r="AU153" s="6">
        <f t="shared" si="210"/>
        <v>2.3508273505586077</v>
      </c>
      <c r="AV153" s="6"/>
      <c r="AW153" s="181">
        <f t="shared" si="211"/>
        <v>0.68539325842696619</v>
      </c>
      <c r="AX153" s="181">
        <f t="shared" si="233"/>
        <v>2.1499999999999995</v>
      </c>
      <c r="AY153" s="181">
        <f t="shared" si="234"/>
        <v>0.1409836065573771</v>
      </c>
      <c r="AZ153" s="181">
        <f t="shared" si="238"/>
        <v>15.249999999999991</v>
      </c>
      <c r="BD153" s="181">
        <f t="shared" si="239"/>
        <v>0.42839054210259248</v>
      </c>
      <c r="BE153" s="181">
        <f t="shared" si="235"/>
        <v>0.29023779916076303</v>
      </c>
      <c r="BG153" s="548">
        <f t="shared" si="212"/>
        <v>6.4231459797033569E-2</v>
      </c>
      <c r="BH153" s="548">
        <f t="shared" si="213"/>
        <v>2.6687499999999992E-2</v>
      </c>
      <c r="BI153" s="548">
        <f t="shared" si="214"/>
        <v>1.6728511639650847E-3</v>
      </c>
      <c r="BJ153" s="548">
        <f t="shared" si="215"/>
        <v>3.8095630450581375E-3</v>
      </c>
      <c r="BK153">
        <f t="shared" si="216"/>
        <v>2.0300000000000001E-3</v>
      </c>
      <c r="BL153" s="474">
        <f t="shared" si="217"/>
        <v>98.431374006056785</v>
      </c>
      <c r="BM153" s="548">
        <f t="shared" si="218"/>
        <v>4.5149999999999996E-2</v>
      </c>
      <c r="BP153" s="474">
        <f t="shared" si="219"/>
        <v>45.15</v>
      </c>
      <c r="BQ153" s="548">
        <f t="shared" si="220"/>
        <v>0</v>
      </c>
      <c r="BR153" s="548">
        <f t="shared" si="221"/>
        <v>0</v>
      </c>
      <c r="BS153" s="548">
        <f t="shared" si="222"/>
        <v>7.8779767900822688E-3</v>
      </c>
      <c r="BT153" s="548">
        <f t="shared" si="223"/>
        <v>0.11287499999999999</v>
      </c>
      <c r="BU153" s="474">
        <f t="shared" si="224"/>
        <v>120.75297679008226</v>
      </c>
      <c r="BV153" s="181">
        <f t="shared" si="225"/>
        <v>0.26433435079613904</v>
      </c>
      <c r="BW153" s="6">
        <f t="shared" si="226"/>
        <v>1.9350000000000001</v>
      </c>
      <c r="BX153" s="181">
        <f t="shared" si="227"/>
        <v>0.87981165724054078</v>
      </c>
      <c r="BY153" s="6">
        <f t="shared" si="228"/>
        <v>87.98116572405408</v>
      </c>
      <c r="CB153" s="583">
        <f t="shared" si="268"/>
        <v>-50</v>
      </c>
      <c r="CC153">
        <f t="shared" si="269"/>
        <v>-50</v>
      </c>
    </row>
    <row r="154" spans="5:81" x14ac:dyDescent="0.2">
      <c r="E154" s="178">
        <v>44</v>
      </c>
      <c r="F154" s="225">
        <f t="shared" si="270"/>
        <v>0.13200000000000001</v>
      </c>
      <c r="G154" s="225"/>
      <c r="H154" s="225">
        <f t="shared" si="240"/>
        <v>1.98</v>
      </c>
      <c r="I154" s="561">
        <f t="shared" si="241"/>
        <v>7</v>
      </c>
      <c r="J154" s="456">
        <f t="shared" si="242"/>
        <v>15.25</v>
      </c>
      <c r="K154" s="456">
        <f t="shared" si="243"/>
        <v>22.25</v>
      </c>
      <c r="L154" s="456"/>
      <c r="M154" s="225">
        <f t="shared" si="244"/>
        <v>0.6853932584269663</v>
      </c>
      <c r="N154" s="180">
        <f t="shared" si="245"/>
        <v>3.1305337078651685</v>
      </c>
      <c r="O154" s="180">
        <f t="shared" si="236"/>
        <v>1.98</v>
      </c>
      <c r="P154" s="225">
        <f t="shared" si="246"/>
        <v>0.20870224719101124</v>
      </c>
      <c r="Q154" s="225">
        <f t="shared" si="247"/>
        <v>15</v>
      </c>
      <c r="R154" s="225"/>
      <c r="S154" s="180">
        <f t="shared" si="248"/>
        <v>27.664963119965684</v>
      </c>
      <c r="T154" s="180">
        <f t="shared" si="249"/>
        <v>15</v>
      </c>
      <c r="U154" s="225">
        <f t="shared" si="250"/>
        <v>0.91709601873536306</v>
      </c>
      <c r="V154" s="225">
        <f t="shared" si="251"/>
        <v>5.240548678487789</v>
      </c>
      <c r="W154" s="225">
        <f t="shared" si="252"/>
        <v>2.4054977540599687</v>
      </c>
      <c r="X154" s="205">
        <f t="shared" si="253"/>
        <v>350</v>
      </c>
      <c r="Y154" s="456">
        <f t="shared" si="195"/>
        <v>130.7865455463612</v>
      </c>
      <c r="AA154" s="225">
        <f t="shared" si="254"/>
        <v>0.34269662921348309</v>
      </c>
      <c r="AB154" s="181">
        <f t="shared" si="255"/>
        <v>0.89887640449438189</v>
      </c>
      <c r="AC154" s="181">
        <f t="shared" si="256"/>
        <v>5.3907334932458008E-2</v>
      </c>
      <c r="AD154" s="181"/>
      <c r="AE154" s="181">
        <f t="shared" si="257"/>
        <v>0.76065573770491812</v>
      </c>
      <c r="AF154" s="565">
        <f t="shared" si="258"/>
        <v>1196.7895362663496</v>
      </c>
      <c r="AG154" s="548">
        <f t="shared" si="259"/>
        <v>3.8603278688524589E-2</v>
      </c>
      <c r="AI154" s="181">
        <f t="shared" si="260"/>
        <v>0.5362568680878862</v>
      </c>
      <c r="AJ154" s="181">
        <f t="shared" si="261"/>
        <v>0.91709601873536306</v>
      </c>
      <c r="AK154" s="181">
        <f t="shared" si="262"/>
        <v>1.6645155694336022</v>
      </c>
      <c r="AM154" s="565">
        <f t="shared" si="263"/>
        <v>132</v>
      </c>
      <c r="AN154" s="474">
        <f t="shared" si="264"/>
        <v>130.7865455463612</v>
      </c>
      <c r="AP154" s="474">
        <f t="shared" si="265"/>
        <v>132</v>
      </c>
      <c r="AQ154" s="474">
        <f t="shared" si="266"/>
        <v>130.7865455463612</v>
      </c>
      <c r="AS154" s="6">
        <f t="shared" si="237"/>
        <v>7.6460464325477586</v>
      </c>
      <c r="AT154" s="6">
        <f t="shared" si="267"/>
        <v>5.240548678487789</v>
      </c>
      <c r="AU154" s="6">
        <f t="shared" si="210"/>
        <v>2.4054977540599696</v>
      </c>
      <c r="AV154" s="6"/>
      <c r="AW154" s="181">
        <f t="shared" si="211"/>
        <v>0.68539325842696619</v>
      </c>
      <c r="AX154" s="181">
        <f t="shared" si="233"/>
        <v>2.2000000000000002</v>
      </c>
      <c r="AY154" s="181">
        <f t="shared" si="234"/>
        <v>0.14426229508196728</v>
      </c>
      <c r="AZ154" s="181">
        <f t="shared" si="238"/>
        <v>15.249999999999995</v>
      </c>
      <c r="BD154" s="181">
        <f t="shared" si="239"/>
        <v>0.43835311284916439</v>
      </c>
      <c r="BE154" s="181">
        <f t="shared" si="235"/>
        <v>0.29698751542031565</v>
      </c>
      <c r="BG154" s="548">
        <f t="shared" si="212"/>
        <v>6.7253708040593288E-2</v>
      </c>
      <c r="BH154" s="548">
        <f t="shared" si="213"/>
        <v>2.6687499999999996E-2</v>
      </c>
      <c r="BI154" s="548">
        <f t="shared" si="214"/>
        <v>1.6348318193295148E-3</v>
      </c>
      <c r="BJ154" s="548">
        <f t="shared" si="215"/>
        <v>3.7229820667613626E-3</v>
      </c>
      <c r="BK154">
        <f t="shared" si="216"/>
        <v>2.0300000000000001E-3</v>
      </c>
      <c r="BL154" s="474">
        <f t="shared" si="217"/>
        <v>101.32902192668415</v>
      </c>
      <c r="BM154" s="548">
        <f t="shared" si="218"/>
        <v>4.6199999999999998E-2</v>
      </c>
      <c r="BP154" s="474">
        <f t="shared" si="219"/>
        <v>46.199999999999996</v>
      </c>
      <c r="BQ154" s="548">
        <f t="shared" si="220"/>
        <v>0</v>
      </c>
      <c r="BR154" s="548">
        <f t="shared" si="221"/>
        <v>0</v>
      </c>
      <c r="BS154" s="548">
        <f t="shared" si="222"/>
        <v>7.8779767900822879E-3</v>
      </c>
      <c r="BT154" s="548">
        <f t="shared" si="223"/>
        <v>0.11550000000000001</v>
      </c>
      <c r="BU154" s="474">
        <f t="shared" si="224"/>
        <v>123.37797679008229</v>
      </c>
      <c r="BV154" s="181">
        <f t="shared" si="225"/>
        <v>0.27090699871676643</v>
      </c>
      <c r="BW154" s="6">
        <f t="shared" si="226"/>
        <v>1.98</v>
      </c>
      <c r="BX154" s="181">
        <f t="shared" si="227"/>
        <v>0.87964540566482341</v>
      </c>
      <c r="BY154" s="6">
        <f t="shared" si="228"/>
        <v>87.964540566482341</v>
      </c>
      <c r="CB154" s="583">
        <f t="shared" si="268"/>
        <v>-50</v>
      </c>
      <c r="CC154">
        <f t="shared" si="269"/>
        <v>-50</v>
      </c>
    </row>
    <row r="155" spans="5:81" x14ac:dyDescent="0.2">
      <c r="E155" s="178">
        <v>45</v>
      </c>
      <c r="F155" s="225">
        <f t="shared" si="270"/>
        <v>0.13500000000000001</v>
      </c>
      <c r="G155" s="225"/>
      <c r="H155" s="225">
        <f t="shared" si="240"/>
        <v>2.0250000000000004</v>
      </c>
      <c r="I155" s="561">
        <f t="shared" si="241"/>
        <v>7</v>
      </c>
      <c r="J155" s="456">
        <f t="shared" si="242"/>
        <v>15.25</v>
      </c>
      <c r="K155" s="456">
        <f t="shared" si="243"/>
        <v>22.25</v>
      </c>
      <c r="L155" s="456"/>
      <c r="M155" s="225">
        <f t="shared" si="244"/>
        <v>0.6853932584269663</v>
      </c>
      <c r="N155" s="180">
        <f t="shared" si="245"/>
        <v>3.1305337078651685</v>
      </c>
      <c r="O155" s="180">
        <f t="shared" si="236"/>
        <v>2.0250000000000004</v>
      </c>
      <c r="P155" s="225">
        <f t="shared" si="246"/>
        <v>0.20870224719101124</v>
      </c>
      <c r="Q155" s="225">
        <f t="shared" si="247"/>
        <v>15</v>
      </c>
      <c r="R155" s="225"/>
      <c r="S155" s="180">
        <f t="shared" si="248"/>
        <v>26.897795289868466</v>
      </c>
      <c r="T155" s="180">
        <f t="shared" si="249"/>
        <v>15</v>
      </c>
      <c r="U155" s="225">
        <f t="shared" si="250"/>
        <v>0.93793911007025788</v>
      </c>
      <c r="V155" s="225">
        <f t="shared" si="251"/>
        <v>5.3596520575443307</v>
      </c>
      <c r="W155" s="225">
        <f t="shared" si="252"/>
        <v>2.4601681575613323</v>
      </c>
      <c r="X155" s="205">
        <f t="shared" si="253"/>
        <v>350</v>
      </c>
      <c r="Y155" s="456">
        <f t="shared" si="195"/>
        <v>127.88017786755316</v>
      </c>
      <c r="AA155" s="225">
        <f t="shared" si="254"/>
        <v>0.34269662921348309</v>
      </c>
      <c r="AB155" s="181">
        <f t="shared" si="255"/>
        <v>0.89887640449438189</v>
      </c>
      <c r="AC155" s="181">
        <f t="shared" si="256"/>
        <v>5.3907334932458008E-2</v>
      </c>
      <c r="AD155" s="181"/>
      <c r="AE155" s="181">
        <f t="shared" si="257"/>
        <v>0.76065573770491812</v>
      </c>
      <c r="AF155" s="565">
        <f t="shared" si="258"/>
        <v>1223.9892984542212</v>
      </c>
      <c r="AG155" s="548">
        <f t="shared" si="259"/>
        <v>3.8603278688524589E-2</v>
      </c>
      <c r="AI155" s="181">
        <f t="shared" si="260"/>
        <v>0.54231646006473277</v>
      </c>
      <c r="AJ155" s="181">
        <f t="shared" si="261"/>
        <v>0.93793911007025788</v>
      </c>
      <c r="AK155" s="181">
        <f t="shared" si="262"/>
        <v>1.6799548963483391</v>
      </c>
      <c r="AM155" s="565">
        <f t="shared" si="263"/>
        <v>135</v>
      </c>
      <c r="AN155" s="474">
        <f t="shared" si="264"/>
        <v>127.88017786755316</v>
      </c>
      <c r="AP155" s="474">
        <f t="shared" si="265"/>
        <v>135</v>
      </c>
      <c r="AQ155" s="474">
        <f t="shared" si="266"/>
        <v>127.88017786755316</v>
      </c>
      <c r="AS155" s="6">
        <f t="shared" si="237"/>
        <v>7.8198202151056622</v>
      </c>
      <c r="AT155" s="6">
        <f t="shared" si="267"/>
        <v>5.3596520575443307</v>
      </c>
      <c r="AU155" s="6">
        <f t="shared" si="210"/>
        <v>2.4601681575613314</v>
      </c>
      <c r="AV155" s="6"/>
      <c r="AW155" s="181">
        <f t="shared" si="211"/>
        <v>0.6853932584269663</v>
      </c>
      <c r="AX155" s="181">
        <f t="shared" si="233"/>
        <v>2.2500000000000009</v>
      </c>
      <c r="AY155" s="181">
        <f t="shared" si="234"/>
        <v>0.1475409836065574</v>
      </c>
      <c r="AZ155" s="181">
        <f t="shared" si="238"/>
        <v>15.250000000000004</v>
      </c>
      <c r="BD155" s="181">
        <f t="shared" si="239"/>
        <v>0.44831568359573643</v>
      </c>
      <c r="BE155" s="181">
        <f t="shared" si="235"/>
        <v>0.30373723167986827</v>
      </c>
      <c r="BG155" s="548">
        <f t="shared" si="212"/>
        <v>7.034543325526936E-2</v>
      </c>
      <c r="BH155" s="548">
        <f t="shared" si="213"/>
        <v>2.6687499999999996E-2</v>
      </c>
      <c r="BI155" s="548">
        <f t="shared" si="214"/>
        <v>1.5985022233444143E-3</v>
      </c>
      <c r="BJ155" s="548">
        <f t="shared" si="215"/>
        <v>3.6402491319444431E-3</v>
      </c>
      <c r="BK155">
        <f t="shared" si="216"/>
        <v>2.0300000000000001E-3</v>
      </c>
      <c r="BL155" s="474">
        <f t="shared" si="217"/>
        <v>104.30168461055821</v>
      </c>
      <c r="BM155" s="548">
        <f t="shared" si="218"/>
        <v>4.725E-2</v>
      </c>
      <c r="BP155" s="474">
        <f t="shared" si="219"/>
        <v>47.25</v>
      </c>
      <c r="BQ155" s="548">
        <f t="shared" si="220"/>
        <v>0</v>
      </c>
      <c r="BR155" s="548">
        <f t="shared" si="221"/>
        <v>0</v>
      </c>
      <c r="BS155" s="548">
        <f t="shared" si="222"/>
        <v>7.8779767900822879E-3</v>
      </c>
      <c r="BT155" s="548">
        <f t="shared" si="223"/>
        <v>0.11812500000000005</v>
      </c>
      <c r="BU155" s="474">
        <f t="shared" si="224"/>
        <v>126.00297679008234</v>
      </c>
      <c r="BV155" s="181">
        <f t="shared" si="225"/>
        <v>0.27755466140064056</v>
      </c>
      <c r="BW155" s="6">
        <f t="shared" si="226"/>
        <v>2.0250000000000004</v>
      </c>
      <c r="BX155" s="181">
        <f t="shared" si="227"/>
        <v>0.87945794901051155</v>
      </c>
      <c r="BY155" s="6">
        <f t="shared" si="228"/>
        <v>87.945794901051158</v>
      </c>
      <c r="CB155" s="583">
        <f t="shared" si="268"/>
        <v>-50</v>
      </c>
      <c r="CC155">
        <f t="shared" si="269"/>
        <v>-50</v>
      </c>
    </row>
    <row r="156" spans="5:81" s="78" customFormat="1" x14ac:dyDescent="0.2">
      <c r="E156" s="197">
        <v>46</v>
      </c>
      <c r="F156" s="337">
        <f t="shared" si="270"/>
        <v>0.13800000000000001</v>
      </c>
      <c r="G156" s="337"/>
      <c r="H156" s="337">
        <f t="shared" si="240"/>
        <v>2.0700000000000003</v>
      </c>
      <c r="I156" s="561">
        <f t="shared" si="241"/>
        <v>7</v>
      </c>
      <c r="J156" s="456">
        <f t="shared" si="242"/>
        <v>15.25</v>
      </c>
      <c r="K156" s="555">
        <f t="shared" si="243"/>
        <v>22.25</v>
      </c>
      <c r="L156" s="555"/>
      <c r="M156" s="337">
        <f t="shared" si="244"/>
        <v>0.6853932584269663</v>
      </c>
      <c r="N156" s="556">
        <f t="shared" si="245"/>
        <v>3.1305337078651685</v>
      </c>
      <c r="O156" s="180">
        <f t="shared" si="236"/>
        <v>2.0700000000000003</v>
      </c>
      <c r="P156" s="337">
        <f t="shared" si="246"/>
        <v>0.20870224719101124</v>
      </c>
      <c r="Q156" s="337">
        <f t="shared" si="247"/>
        <v>15</v>
      </c>
      <c r="R156" s="337"/>
      <c r="S156" s="180">
        <f t="shared" si="248"/>
        <v>26.16407863447925</v>
      </c>
      <c r="T156" s="180">
        <f t="shared" si="249"/>
        <v>15</v>
      </c>
      <c r="U156" s="225">
        <f t="shared" si="250"/>
        <v>0.95878220140515247</v>
      </c>
      <c r="V156" s="337">
        <f t="shared" si="251"/>
        <v>5.4787554366008724</v>
      </c>
      <c r="W156" s="337">
        <f t="shared" si="252"/>
        <v>2.5148385610626951</v>
      </c>
      <c r="X156" s="557">
        <f t="shared" si="253"/>
        <v>350</v>
      </c>
      <c r="Y156" s="555">
        <f t="shared" si="195"/>
        <v>125.1001740008672</v>
      </c>
      <c r="AA156" s="337">
        <f t="shared" si="254"/>
        <v>0.34269662921348309</v>
      </c>
      <c r="AB156" s="558">
        <f t="shared" si="255"/>
        <v>0.89887640449438189</v>
      </c>
      <c r="AC156" s="558">
        <f t="shared" si="256"/>
        <v>5.3907334932458008E-2</v>
      </c>
      <c r="AD156" s="558"/>
      <c r="AE156" s="558">
        <f t="shared" si="257"/>
        <v>0.76065573770491812</v>
      </c>
      <c r="AF156" s="585">
        <f t="shared" si="258"/>
        <v>1251.1890606420927</v>
      </c>
      <c r="AG156" s="602">
        <f t="shared" si="259"/>
        <v>3.8603278688524589E-2</v>
      </c>
      <c r="AI156" s="558">
        <f t="shared" si="260"/>
        <v>0.54830908905731002</v>
      </c>
      <c r="AJ156" s="558">
        <f t="shared" si="261"/>
        <v>0.95878220140515247</v>
      </c>
      <c r="AK156" s="558">
        <f t="shared" si="262"/>
        <v>1.6953942232630759</v>
      </c>
      <c r="AM156" s="585">
        <f t="shared" si="263"/>
        <v>138</v>
      </c>
      <c r="AN156" s="586">
        <f t="shared" si="264"/>
        <v>125.1001740008672</v>
      </c>
      <c r="AP156" s="78">
        <f t="shared" si="265"/>
        <v>138</v>
      </c>
      <c r="AQ156" s="78">
        <f t="shared" si="266"/>
        <v>125.1001740008672</v>
      </c>
      <c r="AS156" s="554">
        <f t="shared" si="237"/>
        <v>7.9935939976635684</v>
      </c>
      <c r="AT156" s="6">
        <f t="shared" si="267"/>
        <v>5.4787554366008724</v>
      </c>
      <c r="AU156" s="6">
        <f t="shared" si="210"/>
        <v>2.514838561062696</v>
      </c>
      <c r="AV156" s="6"/>
      <c r="AW156" s="181">
        <f t="shared" si="211"/>
        <v>0.6853932584269663</v>
      </c>
      <c r="AX156" s="181">
        <f t="shared" si="233"/>
        <v>2.2999999999999998</v>
      </c>
      <c r="AY156" s="181">
        <f t="shared" si="234"/>
        <v>0.15081967213114758</v>
      </c>
      <c r="AZ156" s="181">
        <f t="shared" si="238"/>
        <v>15.249999999999995</v>
      </c>
      <c r="BD156" s="181">
        <f t="shared" si="239"/>
        <v>0.45827825434230834</v>
      </c>
      <c r="BE156" s="181">
        <f t="shared" si="235"/>
        <v>0.31048694793942089</v>
      </c>
      <c r="BG156" s="548">
        <f t="shared" si="212"/>
        <v>7.3506635441061702E-2</v>
      </c>
      <c r="BH156" s="548">
        <f t="shared" si="213"/>
        <v>2.6687499999999996E-2</v>
      </c>
      <c r="BI156" s="548">
        <f t="shared" si="214"/>
        <v>1.5637521750108399E-3</v>
      </c>
      <c r="BJ156" s="548">
        <f t="shared" si="215"/>
        <v>3.561113281249998E-3</v>
      </c>
      <c r="BK156">
        <f t="shared" si="216"/>
        <v>2.0300000000000001E-3</v>
      </c>
      <c r="BL156" s="474">
        <f t="shared" si="217"/>
        <v>107.34900089732255</v>
      </c>
      <c r="BM156" s="548">
        <f t="shared" si="218"/>
        <v>4.8300000000000003E-2</v>
      </c>
      <c r="BP156" s="474">
        <f t="shared" si="219"/>
        <v>48.300000000000004</v>
      </c>
      <c r="BQ156" s="548">
        <f t="shared" si="220"/>
        <v>0</v>
      </c>
      <c r="BR156" s="548">
        <f t="shared" si="221"/>
        <v>0</v>
      </c>
      <c r="BS156" s="548">
        <f t="shared" si="222"/>
        <v>7.8779767900822827E-3</v>
      </c>
      <c r="BT156" s="548">
        <f t="shared" si="223"/>
        <v>0.12075000000000002</v>
      </c>
      <c r="BU156" s="474">
        <f t="shared" si="224"/>
        <v>128.6279767900823</v>
      </c>
      <c r="BV156" s="181">
        <f t="shared" si="225"/>
        <v>0.2842769776874049</v>
      </c>
      <c r="BW156" s="6">
        <f t="shared" si="226"/>
        <v>2.0700000000000003</v>
      </c>
      <c r="BX156" s="181">
        <f t="shared" si="227"/>
        <v>0.87925083565713291</v>
      </c>
      <c r="BY156" s="6">
        <f t="shared" si="228"/>
        <v>87.925083565713294</v>
      </c>
      <c r="CB156" s="583">
        <f t="shared" si="268"/>
        <v>-50</v>
      </c>
      <c r="CC156">
        <f t="shared" si="269"/>
        <v>-50</v>
      </c>
    </row>
    <row r="157" spans="5:81" x14ac:dyDescent="0.2">
      <c r="E157" s="178">
        <v>47</v>
      </c>
      <c r="F157" s="225">
        <f t="shared" si="270"/>
        <v>0.14099999999999999</v>
      </c>
      <c r="G157" s="225"/>
      <c r="H157" s="225">
        <f t="shared" si="240"/>
        <v>2.1149999999999998</v>
      </c>
      <c r="I157" s="561">
        <f t="shared" si="241"/>
        <v>7</v>
      </c>
      <c r="J157" s="456">
        <f t="shared" si="242"/>
        <v>15.25</v>
      </c>
      <c r="K157" s="456">
        <f t="shared" si="243"/>
        <v>22.25</v>
      </c>
      <c r="L157" s="456"/>
      <c r="M157" s="225">
        <f t="shared" si="244"/>
        <v>0.6853932584269663</v>
      </c>
      <c r="N157" s="180">
        <f t="shared" si="245"/>
        <v>3.1305337078651685</v>
      </c>
      <c r="O157" s="180">
        <f t="shared" si="236"/>
        <v>2.1149999999999998</v>
      </c>
      <c r="P157" s="225">
        <f t="shared" si="246"/>
        <v>0.20870224719101124</v>
      </c>
      <c r="Q157" s="225">
        <f t="shared" si="247"/>
        <v>15</v>
      </c>
      <c r="R157" s="225"/>
      <c r="S157" s="180">
        <f t="shared" si="248"/>
        <v>25.461679475216524</v>
      </c>
      <c r="T157" s="180">
        <f t="shared" si="249"/>
        <v>15</v>
      </c>
      <c r="U157" s="225">
        <f t="shared" si="250"/>
        <v>0.97962529274004684</v>
      </c>
      <c r="V157" s="225">
        <f t="shared" si="251"/>
        <v>5.5978588156574105</v>
      </c>
      <c r="W157" s="225">
        <f t="shared" si="252"/>
        <v>2.5695089645640574</v>
      </c>
      <c r="X157" s="205">
        <f t="shared" si="253"/>
        <v>350</v>
      </c>
      <c r="Y157" s="456">
        <f t="shared" si="195"/>
        <v>122.43846817106156</v>
      </c>
      <c r="AA157" s="225">
        <f t="shared" si="254"/>
        <v>0.34269662921348309</v>
      </c>
      <c r="AB157" s="181">
        <f t="shared" si="255"/>
        <v>0.89887640449438189</v>
      </c>
      <c r="AC157" s="181">
        <f t="shared" si="256"/>
        <v>5.3907334932458008E-2</v>
      </c>
      <c r="AD157" s="181"/>
      <c r="AE157" s="181">
        <f t="shared" si="257"/>
        <v>0.76065573770491812</v>
      </c>
      <c r="AF157" s="565">
        <f t="shared" si="258"/>
        <v>1278.3888228299641</v>
      </c>
      <c r="AG157" s="548">
        <f t="shared" si="259"/>
        <v>3.8603278688524589E-2</v>
      </c>
      <c r="AI157" s="181">
        <f t="shared" si="260"/>
        <v>0.55423692716073281</v>
      </c>
      <c r="AJ157" s="181">
        <f t="shared" si="261"/>
        <v>0.97962529274004684</v>
      </c>
      <c r="AK157" s="181">
        <f t="shared" si="262"/>
        <v>1.7108335501778122</v>
      </c>
      <c r="AM157" s="565">
        <f t="shared" si="263"/>
        <v>141</v>
      </c>
      <c r="AN157" s="474">
        <f t="shared" si="264"/>
        <v>122.43846817106156</v>
      </c>
      <c r="AP157">
        <f t="shared" si="265"/>
        <v>141</v>
      </c>
      <c r="AQ157">
        <f t="shared" si="266"/>
        <v>122.43846817106156</v>
      </c>
      <c r="AS157" s="6">
        <f t="shared" si="237"/>
        <v>8.1673677802214684</v>
      </c>
      <c r="AT157" s="6">
        <f t="shared" si="267"/>
        <v>5.5978588156574105</v>
      </c>
      <c r="AU157" s="6">
        <f t="shared" si="210"/>
        <v>2.5695089645640579</v>
      </c>
      <c r="AV157" s="6"/>
      <c r="AW157" s="181">
        <f t="shared" si="211"/>
        <v>0.68539325842696619</v>
      </c>
      <c r="AX157" s="181">
        <f t="shared" si="233"/>
        <v>2.3499999999999996</v>
      </c>
      <c r="AY157" s="181">
        <f t="shared" si="234"/>
        <v>0.15409836065573776</v>
      </c>
      <c r="AZ157" s="181">
        <f t="shared" si="238"/>
        <v>15.249999999999993</v>
      </c>
      <c r="BD157" s="181">
        <f t="shared" si="239"/>
        <v>0.46824082508888015</v>
      </c>
      <c r="BE157" s="181">
        <f t="shared" si="235"/>
        <v>0.31723666419897351</v>
      </c>
      <c r="BG157" s="548">
        <f t="shared" si="212"/>
        <v>7.6737314597970341E-2</v>
      </c>
      <c r="BH157" s="548">
        <f t="shared" si="213"/>
        <v>2.6687499999999996E-2</v>
      </c>
      <c r="BI157" s="548">
        <f t="shared" si="214"/>
        <v>1.5304808521382695E-3</v>
      </c>
      <c r="BJ157" s="548">
        <f t="shared" si="215"/>
        <v>3.4853449135638288E-3</v>
      </c>
      <c r="BK157">
        <f t="shared" si="216"/>
        <v>2.0300000000000001E-3</v>
      </c>
      <c r="BL157" s="474">
        <f t="shared" si="217"/>
        <v>110.47064036367243</v>
      </c>
      <c r="BM157" s="548">
        <f t="shared" si="218"/>
        <v>4.9349999999999991E-2</v>
      </c>
      <c r="BP157" s="474">
        <f t="shared" si="219"/>
        <v>49.349999999999994</v>
      </c>
      <c r="BQ157" s="548">
        <f t="shared" si="220"/>
        <v>0</v>
      </c>
      <c r="BR157" s="548">
        <f t="shared" si="221"/>
        <v>0</v>
      </c>
      <c r="BS157" s="548">
        <f t="shared" si="222"/>
        <v>7.8779767900822705E-3</v>
      </c>
      <c r="BT157" s="548">
        <f t="shared" si="223"/>
        <v>0.12337499999999997</v>
      </c>
      <c r="BU157" s="474">
        <f t="shared" si="224"/>
        <v>131.25297679008224</v>
      </c>
      <c r="BV157" s="181">
        <f t="shared" si="225"/>
        <v>0.29107361715375468</v>
      </c>
      <c r="BW157" s="6">
        <f t="shared" si="226"/>
        <v>2.1149999999999998</v>
      </c>
      <c r="BX157" s="181">
        <f t="shared" si="227"/>
        <v>0.87902547325294311</v>
      </c>
      <c r="BY157" s="6">
        <f t="shared" si="228"/>
        <v>87.902547325294307</v>
      </c>
      <c r="CB157" s="583">
        <f t="shared" si="268"/>
        <v>-50</v>
      </c>
      <c r="CC157">
        <f t="shared" si="269"/>
        <v>-50</v>
      </c>
    </row>
    <row r="158" spans="5:81" x14ac:dyDescent="0.2">
      <c r="E158" s="178">
        <v>48</v>
      </c>
      <c r="F158" s="225">
        <f t="shared" si="270"/>
        <v>0.14399999999999999</v>
      </c>
      <c r="G158" s="225"/>
      <c r="H158" s="225">
        <f t="shared" si="240"/>
        <v>2.1599999999999997</v>
      </c>
      <c r="I158" s="561">
        <f t="shared" si="241"/>
        <v>7</v>
      </c>
      <c r="J158" s="456">
        <f t="shared" si="242"/>
        <v>15.25</v>
      </c>
      <c r="K158" s="456">
        <f t="shared" si="243"/>
        <v>22.25</v>
      </c>
      <c r="L158" s="456"/>
      <c r="M158" s="225">
        <f t="shared" si="244"/>
        <v>0.6853932584269663</v>
      </c>
      <c r="N158" s="180">
        <f t="shared" si="245"/>
        <v>3.1305337078651685</v>
      </c>
      <c r="O158" s="180">
        <f t="shared" si="236"/>
        <v>2.1599999999999997</v>
      </c>
      <c r="P158" s="225">
        <f t="shared" si="246"/>
        <v>0.20870224719101124</v>
      </c>
      <c r="Q158" s="225">
        <f t="shared" si="247"/>
        <v>15</v>
      </c>
      <c r="R158" s="225"/>
      <c r="S158" s="180">
        <f t="shared" si="248"/>
        <v>24.788641969466003</v>
      </c>
      <c r="T158" s="180">
        <f t="shared" si="249"/>
        <v>15</v>
      </c>
      <c r="U158" s="225">
        <f t="shared" si="250"/>
        <v>1.0004683840749413</v>
      </c>
      <c r="V158" s="225">
        <f t="shared" si="251"/>
        <v>5.7169621947139513</v>
      </c>
      <c r="W158" s="225">
        <f t="shared" si="252"/>
        <v>2.6241793680654202</v>
      </c>
      <c r="X158" s="205">
        <f t="shared" si="253"/>
        <v>350</v>
      </c>
      <c r="Y158" s="456">
        <f t="shared" si="195"/>
        <v>119.88766675083112</v>
      </c>
      <c r="AA158" s="225">
        <f t="shared" si="254"/>
        <v>0.34269662921348309</v>
      </c>
      <c r="AB158" s="181">
        <f t="shared" si="255"/>
        <v>0.89887640449438189</v>
      </c>
      <c r="AC158" s="181">
        <f t="shared" si="256"/>
        <v>5.3907334932458008E-2</v>
      </c>
      <c r="AD158" s="181"/>
      <c r="AE158" s="181">
        <f t="shared" si="257"/>
        <v>0.76065573770491812</v>
      </c>
      <c r="AF158" s="565">
        <f t="shared" si="258"/>
        <v>1305.5885850178356</v>
      </c>
      <c r="AG158" s="548">
        <f t="shared" si="259"/>
        <v>3.8603278688524589E-2</v>
      </c>
      <c r="AI158" s="181">
        <f t="shared" si="260"/>
        <v>0.56010203152129856</v>
      </c>
      <c r="AJ158" s="181">
        <f t="shared" si="261"/>
        <v>1.0004683840749413</v>
      </c>
      <c r="AK158" s="181">
        <f t="shared" si="262"/>
        <v>1.7262728770925491</v>
      </c>
      <c r="AM158" s="565">
        <f t="shared" si="263"/>
        <v>144</v>
      </c>
      <c r="AN158" s="474">
        <f t="shared" si="264"/>
        <v>119.88766675083112</v>
      </c>
      <c r="AP158">
        <f t="shared" si="265"/>
        <v>144</v>
      </c>
      <c r="AQ158">
        <f t="shared" si="266"/>
        <v>119.88766675083112</v>
      </c>
      <c r="AS158" s="6">
        <f t="shared" si="237"/>
        <v>8.3411415627793719</v>
      </c>
      <c r="AT158" s="6">
        <f t="shared" si="267"/>
        <v>5.7169621947139513</v>
      </c>
      <c r="AU158" s="6">
        <f t="shared" si="210"/>
        <v>2.6241793680654206</v>
      </c>
      <c r="AV158" s="6"/>
      <c r="AW158" s="181">
        <f t="shared" si="211"/>
        <v>0.6853932584269663</v>
      </c>
      <c r="AX158" s="181">
        <f t="shared" si="233"/>
        <v>2.4</v>
      </c>
      <c r="AY158" s="181">
        <f t="shared" si="234"/>
        <v>0.15737704918032785</v>
      </c>
      <c r="AZ158" s="181">
        <f t="shared" si="238"/>
        <v>15.25</v>
      </c>
      <c r="BD158" s="181">
        <f t="shared" si="239"/>
        <v>0.47820339583545196</v>
      </c>
      <c r="BE158" s="181">
        <f t="shared" si="235"/>
        <v>0.32398638045852601</v>
      </c>
      <c r="BG158" s="548">
        <f t="shared" si="212"/>
        <v>8.0037470725995277E-2</v>
      </c>
      <c r="BH158" s="548">
        <f t="shared" si="213"/>
        <v>2.6687499999999996E-2</v>
      </c>
      <c r="BI158" s="548">
        <f t="shared" si="214"/>
        <v>1.4985958343853888E-3</v>
      </c>
      <c r="BJ158" s="548">
        <f t="shared" si="215"/>
        <v>3.4127335611979161E-3</v>
      </c>
      <c r="BK158">
        <f t="shared" si="216"/>
        <v>2.0300000000000001E-3</v>
      </c>
      <c r="BL158" s="474">
        <f t="shared" si="217"/>
        <v>113.66630012157857</v>
      </c>
      <c r="BM158" s="548">
        <f t="shared" si="218"/>
        <v>5.0399999999999993E-2</v>
      </c>
      <c r="BP158" s="474">
        <f t="shared" si="219"/>
        <v>50.399999999999991</v>
      </c>
      <c r="BQ158" s="548">
        <f t="shared" si="220"/>
        <v>0</v>
      </c>
      <c r="BR158" s="548">
        <f t="shared" si="221"/>
        <v>0</v>
      </c>
      <c r="BS158" s="548">
        <f t="shared" si="222"/>
        <v>7.8779767900822792E-3</v>
      </c>
      <c r="BT158" s="548">
        <f t="shared" si="223"/>
        <v>0.12599999999999997</v>
      </c>
      <c r="BU158" s="474">
        <f t="shared" si="224"/>
        <v>133.87797679008227</v>
      </c>
      <c r="BV158" s="181">
        <f t="shared" si="225"/>
        <v>0.29794427691166081</v>
      </c>
      <c r="BW158" s="6">
        <f t="shared" si="226"/>
        <v>2.1599999999999997</v>
      </c>
      <c r="BX158" s="181">
        <f t="shared" si="227"/>
        <v>0.87878314422732984</v>
      </c>
      <c r="BY158" s="6">
        <f t="shared" si="228"/>
        <v>87.878314422732984</v>
      </c>
      <c r="CB158" s="583">
        <f t="shared" si="268"/>
        <v>-50</v>
      </c>
      <c r="CC158">
        <f t="shared" si="269"/>
        <v>-50</v>
      </c>
    </row>
    <row r="159" spans="5:81" x14ac:dyDescent="0.2">
      <c r="E159" s="178">
        <v>49</v>
      </c>
      <c r="F159" s="225">
        <f t="shared" si="270"/>
        <v>0.14699999999999999</v>
      </c>
      <c r="G159" s="225"/>
      <c r="H159" s="225">
        <f t="shared" si="240"/>
        <v>2.2050000000000001</v>
      </c>
      <c r="I159" s="561">
        <f t="shared" si="241"/>
        <v>7</v>
      </c>
      <c r="J159" s="456">
        <f t="shared" si="242"/>
        <v>15.25</v>
      </c>
      <c r="K159" s="456">
        <f t="shared" si="243"/>
        <v>22.25</v>
      </c>
      <c r="L159" s="456"/>
      <c r="M159" s="225">
        <f t="shared" si="244"/>
        <v>0.6853932584269663</v>
      </c>
      <c r="N159" s="180">
        <f t="shared" si="245"/>
        <v>3.1305337078651685</v>
      </c>
      <c r="O159" s="180">
        <f t="shared" si="236"/>
        <v>2.2050000000000001</v>
      </c>
      <c r="P159" s="225">
        <f t="shared" si="246"/>
        <v>0.20870224719101124</v>
      </c>
      <c r="Q159" s="225">
        <f t="shared" si="247"/>
        <v>15</v>
      </c>
      <c r="R159" s="225"/>
      <c r="S159" s="180">
        <f t="shared" si="248"/>
        <v>24.143169964717401</v>
      </c>
      <c r="T159" s="180">
        <f t="shared" si="249"/>
        <v>15</v>
      </c>
      <c r="U159" s="225">
        <f t="shared" si="250"/>
        <v>1.0213114754098362</v>
      </c>
      <c r="V159" s="225">
        <f t="shared" si="251"/>
        <v>5.836065573770493</v>
      </c>
      <c r="W159" s="225">
        <f t="shared" si="252"/>
        <v>2.6788497715667838</v>
      </c>
      <c r="X159" s="205">
        <f t="shared" si="253"/>
        <v>350</v>
      </c>
      <c r="Y159" s="456">
        <f t="shared" si="195"/>
        <v>117.44097967428353</v>
      </c>
      <c r="AA159" s="225">
        <f t="shared" si="254"/>
        <v>0.34269662921348309</v>
      </c>
      <c r="AB159" s="181">
        <f t="shared" si="255"/>
        <v>0.89887640449438189</v>
      </c>
      <c r="AC159" s="181">
        <f t="shared" si="256"/>
        <v>5.3907334932458008E-2</v>
      </c>
      <c r="AD159" s="181"/>
      <c r="AE159" s="181">
        <f t="shared" si="257"/>
        <v>0.76065573770491812</v>
      </c>
      <c r="AF159" s="565">
        <f t="shared" si="258"/>
        <v>1332.7883472057074</v>
      </c>
      <c r="AG159" s="548">
        <f t="shared" si="259"/>
        <v>3.8603278688524589E-2</v>
      </c>
      <c r="AI159" s="181">
        <f t="shared" si="260"/>
        <v>0.56590635267683642</v>
      </c>
      <c r="AJ159" s="181">
        <f t="shared" si="261"/>
        <v>1.0213114754098362</v>
      </c>
      <c r="AK159" s="181">
        <f t="shared" si="262"/>
        <v>1.7417122040072859</v>
      </c>
      <c r="AM159" s="565">
        <f t="shared" si="263"/>
        <v>147</v>
      </c>
      <c r="AN159" s="474">
        <f t="shared" si="264"/>
        <v>117.44097967428353</v>
      </c>
      <c r="AP159">
        <f t="shared" si="265"/>
        <v>147</v>
      </c>
      <c r="AQ159">
        <f t="shared" si="266"/>
        <v>117.44097967428353</v>
      </c>
      <c r="AS159" s="6">
        <f t="shared" si="237"/>
        <v>8.5149153453372772</v>
      </c>
      <c r="AT159" s="6">
        <f t="shared" si="267"/>
        <v>5.836065573770493</v>
      </c>
      <c r="AU159" s="6">
        <f t="shared" si="210"/>
        <v>2.6788497715667843</v>
      </c>
      <c r="AV159" s="6"/>
      <c r="AW159" s="181">
        <f t="shared" si="211"/>
        <v>0.68539325842696619</v>
      </c>
      <c r="AX159" s="181">
        <f t="shared" si="233"/>
        <v>2.4500000000000006</v>
      </c>
      <c r="AY159" s="181">
        <f t="shared" si="234"/>
        <v>0.16065573770491812</v>
      </c>
      <c r="AZ159" s="181">
        <f t="shared" si="238"/>
        <v>15.249999999999996</v>
      </c>
      <c r="BD159" s="181">
        <f t="shared" si="239"/>
        <v>0.48816596658202405</v>
      </c>
      <c r="BE159" s="181">
        <f t="shared" si="235"/>
        <v>0.3307360967180788</v>
      </c>
      <c r="BG159" s="548">
        <f t="shared" si="212"/>
        <v>8.3407103825136622E-2</v>
      </c>
      <c r="BH159" s="548">
        <f t="shared" si="213"/>
        <v>2.6687499999999999E-2</v>
      </c>
      <c r="BI159" s="548">
        <f t="shared" si="214"/>
        <v>1.4680122459285439E-3</v>
      </c>
      <c r="BJ159" s="548">
        <f t="shared" si="215"/>
        <v>3.3430859374999986E-3</v>
      </c>
      <c r="BK159">
        <f t="shared" si="216"/>
        <v>2.0300000000000001E-3</v>
      </c>
      <c r="BL159" s="474">
        <f t="shared" si="217"/>
        <v>116.93570200856517</v>
      </c>
      <c r="BM159" s="548">
        <f t="shared" si="218"/>
        <v>5.1449999999999996E-2</v>
      </c>
      <c r="BP159" s="474">
        <f t="shared" si="219"/>
        <v>51.449999999999996</v>
      </c>
      <c r="BQ159" s="548">
        <f t="shared" si="220"/>
        <v>0</v>
      </c>
      <c r="BR159" s="548">
        <f t="shared" si="221"/>
        <v>0</v>
      </c>
      <c r="BS159" s="548">
        <f t="shared" si="222"/>
        <v>7.8779767900822844E-3</v>
      </c>
      <c r="BT159" s="548">
        <f t="shared" si="223"/>
        <v>0.12862500000000004</v>
      </c>
      <c r="BU159" s="474">
        <f t="shared" si="224"/>
        <v>136.50297679008233</v>
      </c>
      <c r="BV159" s="181">
        <f t="shared" si="225"/>
        <v>0.30488867879864751</v>
      </c>
      <c r="BW159" s="6">
        <f t="shared" si="226"/>
        <v>2.2050000000000001</v>
      </c>
      <c r="BX159" s="181">
        <f t="shared" si="227"/>
        <v>0.878525019306999</v>
      </c>
      <c r="BY159" s="6">
        <f t="shared" si="228"/>
        <v>87.852501930699901</v>
      </c>
      <c r="CB159" s="583">
        <f t="shared" si="268"/>
        <v>-50</v>
      </c>
      <c r="CC159">
        <f t="shared" si="269"/>
        <v>-50</v>
      </c>
    </row>
    <row r="160" spans="5:81" x14ac:dyDescent="0.2">
      <c r="E160" s="178">
        <v>50</v>
      </c>
      <c r="F160" s="225">
        <f t="shared" si="270"/>
        <v>0.15</v>
      </c>
      <c r="G160" s="225"/>
      <c r="H160" s="225">
        <f t="shared" si="240"/>
        <v>2.25</v>
      </c>
      <c r="I160" s="561">
        <f t="shared" si="241"/>
        <v>7</v>
      </c>
      <c r="J160" s="456">
        <f t="shared" si="242"/>
        <v>15.25</v>
      </c>
      <c r="K160" s="456">
        <f t="shared" si="243"/>
        <v>22.25</v>
      </c>
      <c r="L160" s="456"/>
      <c r="M160" s="225">
        <f t="shared" si="244"/>
        <v>0.6853932584269663</v>
      </c>
      <c r="N160" s="180">
        <f t="shared" si="245"/>
        <v>3.1305337078651685</v>
      </c>
      <c r="O160" s="180">
        <f t="shared" si="236"/>
        <v>2.25</v>
      </c>
      <c r="P160" s="225">
        <f t="shared" si="246"/>
        <v>0.20870224719101124</v>
      </c>
      <c r="Q160" s="225">
        <f t="shared" si="247"/>
        <v>15</v>
      </c>
      <c r="R160" s="225"/>
      <c r="S160" s="180">
        <f t="shared" si="248"/>
        <v>23.523611030220671</v>
      </c>
      <c r="T160" s="180">
        <f t="shared" si="249"/>
        <v>15</v>
      </c>
      <c r="U160" s="225">
        <f t="shared" si="250"/>
        <v>1.0421545667447307</v>
      </c>
      <c r="V160" s="225">
        <f t="shared" si="251"/>
        <v>5.9551689528270337</v>
      </c>
      <c r="W160" s="225">
        <f t="shared" si="252"/>
        <v>2.7335201750681466</v>
      </c>
      <c r="X160" s="205">
        <f t="shared" si="253"/>
        <v>350</v>
      </c>
      <c r="Y160" s="456">
        <f t="shared" si="195"/>
        <v>115.09216008079785</v>
      </c>
      <c r="AA160" s="225">
        <f t="shared" si="254"/>
        <v>0.34269662921348309</v>
      </c>
      <c r="AB160" s="181">
        <f t="shared" si="255"/>
        <v>0.89887640449438189</v>
      </c>
      <c r="AC160" s="181">
        <f t="shared" si="256"/>
        <v>5.3907334932458008E-2</v>
      </c>
      <c r="AD160" s="181"/>
      <c r="AE160" s="181">
        <f t="shared" si="257"/>
        <v>0.76065573770491812</v>
      </c>
      <c r="AF160" s="565">
        <f t="shared" si="258"/>
        <v>1359.988109393579</v>
      </c>
      <c r="AG160" s="548">
        <f t="shared" si="259"/>
        <v>3.8603278688524589E-2</v>
      </c>
      <c r="AI160" s="181">
        <f t="shared" si="260"/>
        <v>0.5716517421347671</v>
      </c>
      <c r="AJ160" s="181">
        <f t="shared" si="261"/>
        <v>1.0421545667447307</v>
      </c>
      <c r="AK160" s="181">
        <f t="shared" si="262"/>
        <v>1.7571515309220227</v>
      </c>
      <c r="AM160" s="565">
        <f t="shared" si="263"/>
        <v>150</v>
      </c>
      <c r="AN160" s="474">
        <f t="shared" si="264"/>
        <v>115.09216008079785</v>
      </c>
      <c r="AP160">
        <f t="shared" si="265"/>
        <v>150</v>
      </c>
      <c r="AQ160">
        <f t="shared" si="266"/>
        <v>115.09216008079785</v>
      </c>
      <c r="AS160" s="6">
        <f t="shared" si="237"/>
        <v>8.6886891278951808</v>
      </c>
      <c r="AT160" s="6">
        <f t="shared" si="267"/>
        <v>5.9551689528270337</v>
      </c>
      <c r="AU160" s="6">
        <f t="shared" si="210"/>
        <v>2.733520175068147</v>
      </c>
      <c r="AV160" s="6"/>
      <c r="AW160" s="181">
        <f t="shared" si="211"/>
        <v>0.6853932584269663</v>
      </c>
      <c r="AX160" s="181">
        <f t="shared" si="233"/>
        <v>2.5</v>
      </c>
      <c r="AY160" s="181">
        <f t="shared" si="234"/>
        <v>0.16393442622950821</v>
      </c>
      <c r="AZ160" s="181">
        <f t="shared" si="238"/>
        <v>15.249999999999998</v>
      </c>
      <c r="BD160" s="181">
        <f t="shared" si="239"/>
        <v>0.49812853732859591</v>
      </c>
      <c r="BE160" s="181">
        <f t="shared" si="235"/>
        <v>0.33748581297763136</v>
      </c>
      <c r="BG160" s="548">
        <f t="shared" si="212"/>
        <v>8.6846213895394223E-2</v>
      </c>
      <c r="BH160" s="548">
        <f t="shared" si="213"/>
        <v>2.6687499999999996E-2</v>
      </c>
      <c r="BI160" s="548">
        <f t="shared" si="214"/>
        <v>1.438652001009973E-3</v>
      </c>
      <c r="BJ160" s="548">
        <f t="shared" si="215"/>
        <v>3.2762242187499989E-3</v>
      </c>
      <c r="BK160">
        <f t="shared" si="216"/>
        <v>2.0300000000000001E-3</v>
      </c>
      <c r="BL160" s="474">
        <f t="shared" si="217"/>
        <v>120.27859011515419</v>
      </c>
      <c r="BM160" s="548">
        <f t="shared" si="218"/>
        <v>5.2499999999999998E-2</v>
      </c>
      <c r="BP160" s="474">
        <f t="shared" si="219"/>
        <v>52.5</v>
      </c>
      <c r="BQ160" s="548">
        <f t="shared" si="220"/>
        <v>0</v>
      </c>
      <c r="BR160" s="548">
        <f t="shared" si="221"/>
        <v>0</v>
      </c>
      <c r="BS160" s="548">
        <f t="shared" si="222"/>
        <v>7.8779767900822948E-3</v>
      </c>
      <c r="BT160" s="548">
        <f t="shared" si="223"/>
        <v>0.13125000000000001</v>
      </c>
      <c r="BU160" s="474">
        <f t="shared" si="224"/>
        <v>139.1279767900823</v>
      </c>
      <c r="BV160" s="181">
        <f t="shared" si="225"/>
        <v>0.31190656690523644</v>
      </c>
      <c r="BW160" s="6">
        <f t="shared" si="226"/>
        <v>2.25</v>
      </c>
      <c r="BX160" s="181">
        <f t="shared" si="227"/>
        <v>0.87825216932793249</v>
      </c>
      <c r="BY160" s="6">
        <f t="shared" si="228"/>
        <v>87.825216932793253</v>
      </c>
      <c r="CB160" s="583">
        <f t="shared" si="268"/>
        <v>-50</v>
      </c>
      <c r="CC160">
        <f t="shared" si="269"/>
        <v>-50</v>
      </c>
    </row>
    <row r="161" spans="5:81" x14ac:dyDescent="0.2">
      <c r="E161" s="178">
        <v>51</v>
      </c>
      <c r="F161" s="225">
        <f t="shared" si="270"/>
        <v>0.153</v>
      </c>
      <c r="G161" s="225"/>
      <c r="H161" s="225">
        <f t="shared" si="240"/>
        <v>2.2949999999999999</v>
      </c>
      <c r="I161" s="561">
        <f t="shared" si="241"/>
        <v>7</v>
      </c>
      <c r="J161" s="456">
        <f t="shared" si="242"/>
        <v>15.25</v>
      </c>
      <c r="K161" s="456">
        <f t="shared" si="243"/>
        <v>22.25</v>
      </c>
      <c r="L161" s="456"/>
      <c r="M161" s="225">
        <f t="shared" si="244"/>
        <v>0.6853932584269663</v>
      </c>
      <c r="N161" s="180">
        <f t="shared" si="245"/>
        <v>3.1305337078651685</v>
      </c>
      <c r="O161" s="180">
        <f t="shared" si="236"/>
        <v>2.2949999999999999</v>
      </c>
      <c r="P161" s="225">
        <f t="shared" si="246"/>
        <v>0.20870224719101124</v>
      </c>
      <c r="Q161" s="225">
        <f t="shared" si="247"/>
        <v>15</v>
      </c>
      <c r="R161" s="225"/>
      <c r="S161" s="180">
        <f t="shared" si="248"/>
        <v>22.928442367287015</v>
      </c>
      <c r="T161" s="180">
        <f t="shared" si="249"/>
        <v>15</v>
      </c>
      <c r="U161" s="225">
        <f t="shared" si="250"/>
        <v>1.0629976580796254</v>
      </c>
      <c r="V161" s="225">
        <f t="shared" si="251"/>
        <v>6.0742723318835745</v>
      </c>
      <c r="W161" s="225">
        <f t="shared" si="252"/>
        <v>2.7881905785695094</v>
      </c>
      <c r="X161" s="205">
        <f t="shared" si="253"/>
        <v>350</v>
      </c>
      <c r="Y161" s="456">
        <f t="shared" si="195"/>
        <v>112.83545105960575</v>
      </c>
      <c r="AA161" s="225">
        <f t="shared" si="254"/>
        <v>0.34269662921348309</v>
      </c>
      <c r="AB161" s="181">
        <f t="shared" si="255"/>
        <v>0.89887640449438189</v>
      </c>
      <c r="AC161" s="181">
        <f t="shared" si="256"/>
        <v>5.3907334932458008E-2</v>
      </c>
      <c r="AD161" s="181"/>
      <c r="AE161" s="181">
        <f t="shared" si="257"/>
        <v>0.76065573770491812</v>
      </c>
      <c r="AF161" s="565">
        <f t="shared" si="258"/>
        <v>1387.1878715814505</v>
      </c>
      <c r="AG161" s="548">
        <f t="shared" si="259"/>
        <v>3.8603278688524589E-2</v>
      </c>
      <c r="AI161" s="181">
        <f t="shared" si="260"/>
        <v>0.57733995927133652</v>
      </c>
      <c r="AJ161" s="181">
        <f t="shared" si="261"/>
        <v>1.0629976580796254</v>
      </c>
      <c r="AK161" s="181">
        <f t="shared" si="262"/>
        <v>1.7725908578367595</v>
      </c>
      <c r="AM161" s="565">
        <f t="shared" si="263"/>
        <v>153</v>
      </c>
      <c r="AN161" s="474">
        <f t="shared" si="264"/>
        <v>112.83545105960575</v>
      </c>
      <c r="AP161">
        <f t="shared" si="265"/>
        <v>153</v>
      </c>
      <c r="AQ161">
        <f t="shared" si="266"/>
        <v>112.83545105960575</v>
      </c>
      <c r="AS161" s="6">
        <f t="shared" si="237"/>
        <v>8.8624629104530843</v>
      </c>
      <c r="AT161" s="6">
        <f t="shared" si="267"/>
        <v>6.0742723318835745</v>
      </c>
      <c r="AU161" s="6">
        <f t="shared" si="210"/>
        <v>2.7881905785695098</v>
      </c>
      <c r="AV161" s="6"/>
      <c r="AW161" s="181">
        <f t="shared" si="211"/>
        <v>0.6853932584269663</v>
      </c>
      <c r="AX161" s="181">
        <f t="shared" si="233"/>
        <v>2.5500000000000003</v>
      </c>
      <c r="AY161" s="181">
        <f t="shared" si="234"/>
        <v>0.16721311475409839</v>
      </c>
      <c r="AZ161" s="181">
        <f t="shared" si="238"/>
        <v>15.249999999999998</v>
      </c>
      <c r="BD161" s="181">
        <f t="shared" si="239"/>
        <v>0.50809110807516789</v>
      </c>
      <c r="BE161" s="181">
        <f t="shared" si="235"/>
        <v>0.34423552923718403</v>
      </c>
      <c r="BG161" s="548">
        <f t="shared" si="212"/>
        <v>9.0354800936768176E-2</v>
      </c>
      <c r="BH161" s="548">
        <f t="shared" si="213"/>
        <v>2.6687499999999999E-2</v>
      </c>
      <c r="BI161" s="548">
        <f t="shared" si="214"/>
        <v>1.4104431382450718E-3</v>
      </c>
      <c r="BJ161" s="548">
        <f t="shared" si="215"/>
        <v>3.2119845281862736E-3</v>
      </c>
      <c r="BK161">
        <f t="shared" si="216"/>
        <v>2.0300000000000001E-3</v>
      </c>
      <c r="BL161" s="474">
        <f t="shared" si="217"/>
        <v>123.69472860319952</v>
      </c>
      <c r="BM161" s="548">
        <f t="shared" si="218"/>
        <v>5.3549999999999993E-2</v>
      </c>
      <c r="BP161" s="474">
        <f t="shared" si="219"/>
        <v>53.54999999999999</v>
      </c>
      <c r="BQ161" s="548">
        <f t="shared" si="220"/>
        <v>0</v>
      </c>
      <c r="BR161" s="548">
        <f t="shared" si="221"/>
        <v>0</v>
      </c>
      <c r="BS161" s="548">
        <f t="shared" si="222"/>
        <v>7.8779767900822948E-3</v>
      </c>
      <c r="BT161" s="548">
        <f t="shared" si="223"/>
        <v>0.13387500000000002</v>
      </c>
      <c r="BU161" s="474">
        <f t="shared" si="224"/>
        <v>141.7529767900823</v>
      </c>
      <c r="BV161" s="181">
        <f t="shared" si="225"/>
        <v>0.31899770539328182</v>
      </c>
      <c r="BW161" s="6">
        <f t="shared" si="226"/>
        <v>2.2949999999999999</v>
      </c>
      <c r="BX161" s="181">
        <f t="shared" si="227"/>
        <v>0.87796557558749344</v>
      </c>
      <c r="BY161" s="6">
        <f t="shared" si="228"/>
        <v>87.796557558749342</v>
      </c>
      <c r="CB161" s="583">
        <f t="shared" si="268"/>
        <v>-50</v>
      </c>
      <c r="CC161">
        <f t="shared" si="269"/>
        <v>-50</v>
      </c>
    </row>
    <row r="162" spans="5:81" x14ac:dyDescent="0.2">
      <c r="E162" s="178">
        <v>52</v>
      </c>
      <c r="F162" s="225">
        <f t="shared" si="270"/>
        <v>0.156</v>
      </c>
      <c r="G162" s="225"/>
      <c r="H162" s="225">
        <f t="shared" si="240"/>
        <v>2.34</v>
      </c>
      <c r="I162" s="561">
        <f t="shared" si="241"/>
        <v>7</v>
      </c>
      <c r="J162" s="456">
        <f t="shared" si="242"/>
        <v>15.25</v>
      </c>
      <c r="K162" s="456">
        <f t="shared" si="243"/>
        <v>22.25</v>
      </c>
      <c r="L162" s="456"/>
      <c r="M162" s="225">
        <f t="shared" si="244"/>
        <v>0.6853932584269663</v>
      </c>
      <c r="N162" s="180">
        <f t="shared" si="245"/>
        <v>3.1305337078651685</v>
      </c>
      <c r="O162" s="180">
        <f t="shared" si="236"/>
        <v>2.34</v>
      </c>
      <c r="P162" s="225">
        <f t="shared" si="246"/>
        <v>0.20870224719101124</v>
      </c>
      <c r="Q162" s="225">
        <f t="shared" si="247"/>
        <v>15</v>
      </c>
      <c r="R162" s="225"/>
      <c r="S162" s="180">
        <f t="shared" si="248"/>
        <v>22.356258345340496</v>
      </c>
      <c r="T162" s="180">
        <f t="shared" si="249"/>
        <v>15</v>
      </c>
      <c r="U162" s="225">
        <f t="shared" si="250"/>
        <v>1.0838407494145199</v>
      </c>
      <c r="V162" s="225">
        <f t="shared" si="251"/>
        <v>6.1933757109401144</v>
      </c>
      <c r="W162" s="225">
        <f t="shared" si="252"/>
        <v>2.8428609820708721</v>
      </c>
      <c r="X162" s="205">
        <f t="shared" si="253"/>
        <v>350</v>
      </c>
      <c r="Y162" s="456">
        <f t="shared" si="195"/>
        <v>110.66553853922872</v>
      </c>
      <c r="AA162" s="225">
        <f t="shared" si="254"/>
        <v>0.34269662921348309</v>
      </c>
      <c r="AB162" s="181">
        <f t="shared" si="255"/>
        <v>0.89887640449438189</v>
      </c>
      <c r="AC162" s="181">
        <f t="shared" si="256"/>
        <v>5.3907334932458008E-2</v>
      </c>
      <c r="AD162" s="181"/>
      <c r="AE162" s="181">
        <f t="shared" si="257"/>
        <v>0.76065573770491812</v>
      </c>
      <c r="AF162" s="565">
        <f t="shared" si="258"/>
        <v>1414.3876337693223</v>
      </c>
      <c r="AG162" s="548">
        <f t="shared" si="259"/>
        <v>3.8603278688524589E-2</v>
      </c>
      <c r="AI162" s="181">
        <f t="shared" si="260"/>
        <v>0.58297267762489768</v>
      </c>
      <c r="AJ162" s="181">
        <f t="shared" si="261"/>
        <v>1.0838407494145199</v>
      </c>
      <c r="AK162" s="181">
        <f t="shared" si="262"/>
        <v>1.7880301847514961</v>
      </c>
      <c r="AM162" s="565">
        <f t="shared" si="263"/>
        <v>156</v>
      </c>
      <c r="AN162" s="474">
        <f t="shared" si="264"/>
        <v>110.66553853922872</v>
      </c>
      <c r="AP162">
        <f t="shared" si="265"/>
        <v>156</v>
      </c>
      <c r="AQ162">
        <f t="shared" si="266"/>
        <v>110.66553853922872</v>
      </c>
      <c r="AS162" s="6">
        <f t="shared" si="237"/>
        <v>9.0362366930109861</v>
      </c>
      <c r="AT162" s="6">
        <f t="shared" si="267"/>
        <v>6.1933757109401144</v>
      </c>
      <c r="AU162" s="6">
        <f t="shared" si="210"/>
        <v>2.8428609820708717</v>
      </c>
      <c r="AV162" s="6"/>
      <c r="AW162" s="181">
        <f t="shared" si="211"/>
        <v>0.6853932584269663</v>
      </c>
      <c r="AX162" s="181">
        <f t="shared" si="233"/>
        <v>2.6</v>
      </c>
      <c r="AY162" s="181">
        <f t="shared" si="234"/>
        <v>0.17049180327868851</v>
      </c>
      <c r="AZ162" s="181">
        <f t="shared" si="238"/>
        <v>15.250000000000002</v>
      </c>
      <c r="BD162" s="181">
        <f t="shared" si="239"/>
        <v>0.51805367882173969</v>
      </c>
      <c r="BE162" s="181">
        <f t="shared" si="235"/>
        <v>0.3509852454967366</v>
      </c>
      <c r="BG162" s="548">
        <f t="shared" si="212"/>
        <v>9.3932864949258385E-2</v>
      </c>
      <c r="BH162" s="548">
        <f t="shared" si="213"/>
        <v>2.6687499999999999E-2</v>
      </c>
      <c r="BI162" s="548">
        <f t="shared" si="214"/>
        <v>1.3833192317403589E-3</v>
      </c>
      <c r="BJ162" s="548">
        <f t="shared" si="215"/>
        <v>3.1502155949519228E-3</v>
      </c>
      <c r="BK162">
        <f t="shared" si="216"/>
        <v>2.0300000000000001E-3</v>
      </c>
      <c r="BL162" s="474">
        <f t="shared" si="217"/>
        <v>127.18389977595068</v>
      </c>
      <c r="BM162" s="548">
        <f t="shared" si="218"/>
        <v>5.4599999999999996E-2</v>
      </c>
      <c r="BP162" s="474">
        <f t="shared" si="219"/>
        <v>54.599999999999994</v>
      </c>
      <c r="BQ162" s="548">
        <f t="shared" si="220"/>
        <v>0</v>
      </c>
      <c r="BR162" s="548">
        <f t="shared" si="221"/>
        <v>0</v>
      </c>
      <c r="BS162" s="548">
        <f t="shared" si="222"/>
        <v>7.8779767900822775E-3</v>
      </c>
      <c r="BT162" s="548">
        <f t="shared" si="223"/>
        <v>0.13650000000000001</v>
      </c>
      <c r="BU162" s="474">
        <f t="shared" si="224"/>
        <v>144.3779767900823</v>
      </c>
      <c r="BV162" s="181">
        <f t="shared" si="225"/>
        <v>0.32616187656603296</v>
      </c>
      <c r="BW162" s="6">
        <f t="shared" si="226"/>
        <v>2.34</v>
      </c>
      <c r="BX162" s="181">
        <f t="shared" si="227"/>
        <v>0.87766613894197476</v>
      </c>
      <c r="BY162" s="6">
        <f t="shared" si="228"/>
        <v>87.766613894197476</v>
      </c>
      <c r="CB162" s="583">
        <f t="shared" si="268"/>
        <v>-50</v>
      </c>
      <c r="CC162">
        <f t="shared" si="269"/>
        <v>-50</v>
      </c>
    </row>
    <row r="163" spans="5:81" x14ac:dyDescent="0.2">
      <c r="E163" s="178">
        <v>53</v>
      </c>
      <c r="F163" s="225">
        <f t="shared" si="270"/>
        <v>0.159</v>
      </c>
      <c r="G163" s="225"/>
      <c r="H163" s="225">
        <f t="shared" si="240"/>
        <v>2.3850000000000002</v>
      </c>
      <c r="I163" s="561">
        <f t="shared" si="241"/>
        <v>7</v>
      </c>
      <c r="J163" s="456">
        <f t="shared" si="242"/>
        <v>15.25</v>
      </c>
      <c r="K163" s="456">
        <f t="shared" si="243"/>
        <v>22.25</v>
      </c>
      <c r="L163" s="456"/>
      <c r="M163" s="225">
        <f t="shared" si="244"/>
        <v>0.6853932584269663</v>
      </c>
      <c r="N163" s="180">
        <f t="shared" si="245"/>
        <v>3.1305337078651685</v>
      </c>
      <c r="O163" s="180">
        <f t="shared" si="236"/>
        <v>2.3850000000000002</v>
      </c>
      <c r="P163" s="225">
        <f t="shared" si="246"/>
        <v>0.20870224719101124</v>
      </c>
      <c r="Q163" s="225">
        <f t="shared" si="247"/>
        <v>15</v>
      </c>
      <c r="R163" s="225"/>
      <c r="S163" s="180">
        <f t="shared" si="248"/>
        <v>21.805759448998852</v>
      </c>
      <c r="T163" s="180">
        <f t="shared" si="249"/>
        <v>15</v>
      </c>
      <c r="U163" s="225">
        <f t="shared" si="250"/>
        <v>1.1046838407494146</v>
      </c>
      <c r="V163" s="225">
        <f t="shared" si="251"/>
        <v>6.3124790899966552</v>
      </c>
      <c r="W163" s="225">
        <f t="shared" si="252"/>
        <v>2.8975313855722353</v>
      </c>
      <c r="X163" s="205">
        <f t="shared" si="253"/>
        <v>350</v>
      </c>
      <c r="Y163" s="456">
        <f t="shared" si="195"/>
        <v>108.57750951018667</v>
      </c>
      <c r="AA163" s="225">
        <f t="shared" si="254"/>
        <v>0.34269662921348309</v>
      </c>
      <c r="AB163" s="181">
        <f t="shared" si="255"/>
        <v>0.89887640449438189</v>
      </c>
      <c r="AC163" s="181">
        <f t="shared" si="256"/>
        <v>5.3907334932458008E-2</v>
      </c>
      <c r="AD163" s="181"/>
      <c r="AE163" s="181">
        <f t="shared" si="257"/>
        <v>0.76065573770491812</v>
      </c>
      <c r="AF163" s="565">
        <f t="shared" si="258"/>
        <v>1441.5873959571938</v>
      </c>
      <c r="AG163" s="548">
        <f t="shared" si="259"/>
        <v>3.8603278688524589E-2</v>
      </c>
      <c r="AI163" s="181">
        <f t="shared" si="260"/>
        <v>0.58855149064704371</v>
      </c>
      <c r="AJ163" s="181">
        <f t="shared" si="261"/>
        <v>1.1046838407494146</v>
      </c>
      <c r="AK163" s="181">
        <f t="shared" si="262"/>
        <v>1.8034695116662329</v>
      </c>
      <c r="AM163" s="565">
        <f t="shared" si="263"/>
        <v>159</v>
      </c>
      <c r="AN163" s="474">
        <f t="shared" si="264"/>
        <v>108.57750951018667</v>
      </c>
      <c r="AP163">
        <f t="shared" si="265"/>
        <v>159</v>
      </c>
      <c r="AQ163">
        <f t="shared" si="266"/>
        <v>108.57750951018667</v>
      </c>
      <c r="AS163" s="6">
        <f t="shared" si="237"/>
        <v>9.2100104755688896</v>
      </c>
      <c r="AT163" s="6">
        <f t="shared" si="267"/>
        <v>6.3124790899966552</v>
      </c>
      <c r="AU163" s="6">
        <f t="shared" si="210"/>
        <v>2.8975313855722344</v>
      </c>
      <c r="AV163" s="6"/>
      <c r="AW163" s="181">
        <f t="shared" si="211"/>
        <v>0.6853932584269663</v>
      </c>
      <c r="AX163" s="181">
        <f t="shared" si="233"/>
        <v>2.6500000000000008</v>
      </c>
      <c r="AY163" s="181">
        <f t="shared" si="234"/>
        <v>0.17377049180327869</v>
      </c>
      <c r="AZ163" s="181">
        <f t="shared" si="238"/>
        <v>15.250000000000004</v>
      </c>
      <c r="BD163" s="181">
        <f t="shared" si="239"/>
        <v>0.52801624956831172</v>
      </c>
      <c r="BE163" s="181">
        <f t="shared" si="235"/>
        <v>0.35773496175628927</v>
      </c>
      <c r="BG163" s="548">
        <f t="shared" si="212"/>
        <v>9.7580405932864975E-2</v>
      </c>
      <c r="BH163" s="548">
        <f t="shared" si="213"/>
        <v>2.6687499999999999E-2</v>
      </c>
      <c r="BI163" s="548">
        <f t="shared" si="214"/>
        <v>1.3572188688773335E-3</v>
      </c>
      <c r="BJ163" s="548">
        <f t="shared" si="215"/>
        <v>3.0907775648584901E-3</v>
      </c>
      <c r="BK163">
        <f t="shared" si="216"/>
        <v>2.0300000000000001E-3</v>
      </c>
      <c r="BL163" s="474">
        <f t="shared" si="217"/>
        <v>130.7459023666008</v>
      </c>
      <c r="BM163" s="548">
        <f t="shared" si="218"/>
        <v>5.5649999999999998E-2</v>
      </c>
      <c r="BP163" s="474">
        <f t="shared" si="219"/>
        <v>55.65</v>
      </c>
      <c r="BQ163" s="548">
        <f t="shared" si="220"/>
        <v>0</v>
      </c>
      <c r="BR163" s="548">
        <f t="shared" si="221"/>
        <v>0</v>
      </c>
      <c r="BS163" s="548">
        <f t="shared" si="222"/>
        <v>7.8779767900822844E-3</v>
      </c>
      <c r="BT163" s="548">
        <f t="shared" si="223"/>
        <v>0.13912500000000003</v>
      </c>
      <c r="BU163" s="474">
        <f t="shared" si="224"/>
        <v>147.0029767900823</v>
      </c>
      <c r="BV163" s="181">
        <f t="shared" si="225"/>
        <v>0.33339887915668309</v>
      </c>
      <c r="BW163" s="6">
        <f t="shared" si="226"/>
        <v>2.3850000000000002</v>
      </c>
      <c r="BX163" s="181">
        <f t="shared" si="227"/>
        <v>0.87735468782266723</v>
      </c>
      <c r="BY163" s="6">
        <f t="shared" si="228"/>
        <v>87.735468782266722</v>
      </c>
      <c r="CB163" s="583">
        <f t="shared" si="268"/>
        <v>-50</v>
      </c>
      <c r="CC163">
        <f t="shared" si="269"/>
        <v>-50</v>
      </c>
    </row>
    <row r="164" spans="5:81" x14ac:dyDescent="0.2">
      <c r="E164" s="178">
        <v>54</v>
      </c>
      <c r="F164" s="225">
        <f t="shared" si="270"/>
        <v>0.16200000000000001</v>
      </c>
      <c r="G164" s="225"/>
      <c r="H164" s="225">
        <f t="shared" si="240"/>
        <v>2.4300000000000002</v>
      </c>
      <c r="I164" s="561">
        <f t="shared" si="241"/>
        <v>7</v>
      </c>
      <c r="J164" s="456">
        <f t="shared" si="242"/>
        <v>15.25</v>
      </c>
      <c r="K164" s="456">
        <f t="shared" si="243"/>
        <v>22.25</v>
      </c>
      <c r="L164" s="456"/>
      <c r="M164" s="225">
        <f t="shared" si="244"/>
        <v>0.6853932584269663</v>
      </c>
      <c r="N164" s="180">
        <f t="shared" si="245"/>
        <v>3.1305337078651685</v>
      </c>
      <c r="O164" s="180">
        <f t="shared" si="236"/>
        <v>2.4300000000000002</v>
      </c>
      <c r="P164" s="225">
        <f t="shared" si="246"/>
        <v>0.20870224719101124</v>
      </c>
      <c r="Q164" s="225">
        <f t="shared" si="247"/>
        <v>15</v>
      </c>
      <c r="R164" s="225"/>
      <c r="S164" s="180">
        <f t="shared" si="248"/>
        <v>21.27574245327266</v>
      </c>
      <c r="T164" s="180">
        <f t="shared" si="249"/>
        <v>15</v>
      </c>
      <c r="U164" s="225">
        <f t="shared" si="250"/>
        <v>1.1255269320843093</v>
      </c>
      <c r="V164" s="225">
        <f t="shared" si="251"/>
        <v>6.4315824690531969</v>
      </c>
      <c r="W164" s="225">
        <f t="shared" si="252"/>
        <v>2.9522017890735985</v>
      </c>
      <c r="X164" s="205">
        <f t="shared" si="253"/>
        <v>350</v>
      </c>
      <c r="Y164" s="456">
        <f t="shared" si="195"/>
        <v>106.56681488962765</v>
      </c>
      <c r="AA164" s="225">
        <f t="shared" si="254"/>
        <v>0.34269662921348309</v>
      </c>
      <c r="AB164" s="181">
        <f t="shared" si="255"/>
        <v>0.89887640449438189</v>
      </c>
      <c r="AC164" s="181">
        <f t="shared" si="256"/>
        <v>5.3907334932458008E-2</v>
      </c>
      <c r="AD164" s="181"/>
      <c r="AE164" s="181">
        <f t="shared" si="257"/>
        <v>0.76065573770491812</v>
      </c>
      <c r="AF164" s="565">
        <f t="shared" si="258"/>
        <v>1468.7871581450654</v>
      </c>
      <c r="AG164" s="548">
        <f t="shared" si="259"/>
        <v>3.8603278688524589E-2</v>
      </c>
      <c r="AI164" s="181">
        <f t="shared" si="260"/>
        <v>0.59407791696760737</v>
      </c>
      <c r="AJ164" s="181">
        <f t="shared" si="261"/>
        <v>1.1255269320843093</v>
      </c>
      <c r="AK164" s="181">
        <f t="shared" si="262"/>
        <v>1.8189088385809697</v>
      </c>
      <c r="AM164" s="565">
        <f t="shared" si="263"/>
        <v>162</v>
      </c>
      <c r="AN164" s="474">
        <f t="shared" si="264"/>
        <v>106.56681488962765</v>
      </c>
      <c r="AP164">
        <f t="shared" si="265"/>
        <v>162</v>
      </c>
      <c r="AQ164">
        <f t="shared" si="266"/>
        <v>106.56681488962765</v>
      </c>
      <c r="AS164" s="6">
        <f t="shared" si="237"/>
        <v>9.3837842581267932</v>
      </c>
      <c r="AT164" s="6">
        <f t="shared" si="267"/>
        <v>6.4315824690531969</v>
      </c>
      <c r="AU164" s="6">
        <f t="shared" si="210"/>
        <v>2.9522017890735963</v>
      </c>
      <c r="AV164" s="6"/>
      <c r="AW164" s="181">
        <f t="shared" si="211"/>
        <v>0.68539325842696641</v>
      </c>
      <c r="AX164" s="181">
        <f t="shared" si="233"/>
        <v>2.7000000000000006</v>
      </c>
      <c r="AY164" s="181">
        <f t="shared" si="234"/>
        <v>0.17704918032786882</v>
      </c>
      <c r="AZ164" s="181">
        <f t="shared" si="238"/>
        <v>15.250000000000007</v>
      </c>
      <c r="BD164" s="181">
        <f t="shared" si="239"/>
        <v>0.53797882031488375</v>
      </c>
      <c r="BE164" s="181">
        <f t="shared" si="235"/>
        <v>0.36448467801584183</v>
      </c>
      <c r="BG164" s="548">
        <f t="shared" si="212"/>
        <v>0.10129742388758789</v>
      </c>
      <c r="BH164" s="548">
        <f t="shared" si="213"/>
        <v>2.6687499999999999E-2</v>
      </c>
      <c r="BI164" s="548">
        <f t="shared" si="214"/>
        <v>1.3320851861203455E-3</v>
      </c>
      <c r="BJ164" s="548">
        <f t="shared" si="215"/>
        <v>3.0335409432870365E-3</v>
      </c>
      <c r="BK164">
        <f t="shared" si="216"/>
        <v>2.0300000000000001E-3</v>
      </c>
      <c r="BL164" s="474">
        <f t="shared" si="217"/>
        <v>134.38055001699527</v>
      </c>
      <c r="BM164" s="548">
        <f t="shared" si="218"/>
        <v>5.67E-2</v>
      </c>
      <c r="BP164" s="474">
        <f t="shared" si="219"/>
        <v>56.7</v>
      </c>
      <c r="BQ164" s="548">
        <f t="shared" si="220"/>
        <v>0</v>
      </c>
      <c r="BR164" s="548">
        <f t="shared" si="221"/>
        <v>0</v>
      </c>
      <c r="BS164" s="548">
        <f t="shared" si="222"/>
        <v>7.8779767900822792E-3</v>
      </c>
      <c r="BT164" s="548">
        <f t="shared" si="223"/>
        <v>0.14175000000000004</v>
      </c>
      <c r="BU164" s="474">
        <f t="shared" si="224"/>
        <v>149.62797679008233</v>
      </c>
      <c r="BV164" s="181">
        <f t="shared" si="225"/>
        <v>0.34070852680707764</v>
      </c>
      <c r="BW164" s="6">
        <f t="shared" si="226"/>
        <v>2.4300000000000002</v>
      </c>
      <c r="BX164" s="181">
        <f t="shared" si="227"/>
        <v>0.8770319853168731</v>
      </c>
      <c r="BY164" s="6">
        <f t="shared" si="228"/>
        <v>87.703198531687306</v>
      </c>
      <c r="CB164" s="583">
        <f t="shared" si="268"/>
        <v>-50</v>
      </c>
      <c r="CC164">
        <f t="shared" si="269"/>
        <v>-50</v>
      </c>
    </row>
    <row r="165" spans="5:81" x14ac:dyDescent="0.2">
      <c r="E165" s="178">
        <v>55</v>
      </c>
      <c r="F165" s="225">
        <f t="shared" si="270"/>
        <v>0.16500000000000001</v>
      </c>
      <c r="G165" s="225"/>
      <c r="H165" s="225">
        <f t="shared" si="240"/>
        <v>2.4750000000000001</v>
      </c>
      <c r="I165" s="561">
        <f t="shared" si="241"/>
        <v>7</v>
      </c>
      <c r="J165" s="456">
        <f t="shared" si="242"/>
        <v>15.25</v>
      </c>
      <c r="K165" s="456">
        <f t="shared" si="243"/>
        <v>22.25</v>
      </c>
      <c r="L165" s="456"/>
      <c r="M165" s="225">
        <f t="shared" si="244"/>
        <v>0.6853932584269663</v>
      </c>
      <c r="N165" s="180">
        <f t="shared" si="245"/>
        <v>3.1305337078651685</v>
      </c>
      <c r="O165" s="180">
        <f t="shared" si="236"/>
        <v>2.4750000000000001</v>
      </c>
      <c r="P165" s="225">
        <f t="shared" si="246"/>
        <v>0.20870224719101124</v>
      </c>
      <c r="Q165" s="225">
        <f t="shared" si="247"/>
        <v>15</v>
      </c>
      <c r="R165" s="225"/>
      <c r="S165" s="180">
        <f t="shared" si="248"/>
        <v>20.76509167057722</v>
      </c>
      <c r="T165" s="180">
        <f t="shared" si="249"/>
        <v>15</v>
      </c>
      <c r="U165" s="225">
        <f t="shared" si="250"/>
        <v>1.1463700234192038</v>
      </c>
      <c r="V165" s="225">
        <f t="shared" si="251"/>
        <v>6.5506858481097359</v>
      </c>
      <c r="W165" s="225">
        <f t="shared" si="252"/>
        <v>3.0068721925749609</v>
      </c>
      <c r="X165" s="205">
        <f t="shared" si="253"/>
        <v>350</v>
      </c>
      <c r="Y165" s="456">
        <f t="shared" si="195"/>
        <v>104.62923643708898</v>
      </c>
      <c r="AA165" s="225">
        <f t="shared" si="254"/>
        <v>0.34269662921348309</v>
      </c>
      <c r="AB165" s="181">
        <f t="shared" si="255"/>
        <v>0.89887640449438189</v>
      </c>
      <c r="AC165" s="181">
        <f t="shared" si="256"/>
        <v>5.3907334932458008E-2</v>
      </c>
      <c r="AD165" s="181"/>
      <c r="AE165" s="181">
        <f t="shared" si="257"/>
        <v>0.76065573770491812</v>
      </c>
      <c r="AF165" s="565">
        <f t="shared" si="258"/>
        <v>1495.986920332937</v>
      </c>
      <c r="AG165" s="548">
        <f t="shared" si="259"/>
        <v>3.8603278688524589E-2</v>
      </c>
      <c r="AI165" s="181">
        <f t="shared" si="260"/>
        <v>0.59955340522282563</v>
      </c>
      <c r="AJ165" s="181">
        <f t="shared" si="261"/>
        <v>1.1463700234192038</v>
      </c>
      <c r="AK165" s="181">
        <f t="shared" si="262"/>
        <v>1.8343481654957063</v>
      </c>
      <c r="AM165" s="565">
        <f t="shared" si="263"/>
        <v>165</v>
      </c>
      <c r="AN165" s="474">
        <f t="shared" si="264"/>
        <v>104.62923643708898</v>
      </c>
      <c r="AP165">
        <f t="shared" si="265"/>
        <v>165</v>
      </c>
      <c r="AQ165">
        <f t="shared" si="266"/>
        <v>104.62923643708898</v>
      </c>
      <c r="AS165" s="6">
        <f t="shared" si="237"/>
        <v>9.5575580406846967</v>
      </c>
      <c r="AT165" s="6">
        <f t="shared" si="267"/>
        <v>6.5506858481097359</v>
      </c>
      <c r="AU165" s="6">
        <f t="shared" si="210"/>
        <v>3.0068721925749609</v>
      </c>
      <c r="AV165" s="6"/>
      <c r="AW165" s="181">
        <f t="shared" si="211"/>
        <v>0.6853932584269663</v>
      </c>
      <c r="AX165" s="181">
        <f t="shared" si="233"/>
        <v>2.7500000000000004</v>
      </c>
      <c r="AY165" s="181">
        <f t="shared" si="234"/>
        <v>0.18032786885245902</v>
      </c>
      <c r="AZ165" s="181">
        <f t="shared" si="238"/>
        <v>15.250000000000002</v>
      </c>
      <c r="BD165" s="181">
        <f t="shared" si="239"/>
        <v>0.54794139106145545</v>
      </c>
      <c r="BE165" s="181">
        <f t="shared" si="235"/>
        <v>0.37123439427539451</v>
      </c>
      <c r="BG165" s="548">
        <f t="shared" si="212"/>
        <v>0.10508391881342699</v>
      </c>
      <c r="BH165" s="548">
        <f t="shared" si="213"/>
        <v>2.6687499999999999E-2</v>
      </c>
      <c r="BI165" s="548">
        <f t="shared" si="214"/>
        <v>1.3078654554636122E-3</v>
      </c>
      <c r="BJ165" s="548">
        <f t="shared" si="215"/>
        <v>2.9783856534090908E-3</v>
      </c>
      <c r="BK165">
        <f t="shared" si="216"/>
        <v>2.0300000000000001E-3</v>
      </c>
      <c r="BL165" s="474">
        <f t="shared" si="217"/>
        <v>138.08766992229968</v>
      </c>
      <c r="BM165" s="548">
        <f t="shared" si="218"/>
        <v>5.7749999999999996E-2</v>
      </c>
      <c r="BP165" s="474">
        <f t="shared" si="219"/>
        <v>57.749999999999993</v>
      </c>
      <c r="BQ165" s="548">
        <f t="shared" si="220"/>
        <v>0</v>
      </c>
      <c r="BR165" s="548">
        <f t="shared" si="221"/>
        <v>0</v>
      </c>
      <c r="BS165" s="548">
        <f t="shared" si="222"/>
        <v>7.8779767900822931E-3</v>
      </c>
      <c r="BT165" s="548">
        <f t="shared" si="223"/>
        <v>0.14437500000000003</v>
      </c>
      <c r="BU165" s="474">
        <f t="shared" si="224"/>
        <v>152.25297679008233</v>
      </c>
      <c r="BV165" s="181">
        <f t="shared" si="225"/>
        <v>0.34809064671238199</v>
      </c>
      <c r="BW165" s="6">
        <f t="shared" si="226"/>
        <v>2.4750000000000001</v>
      </c>
      <c r="BX165" s="181">
        <f t="shared" si="227"/>
        <v>0.87669873543814492</v>
      </c>
      <c r="BY165" s="6">
        <f t="shared" si="228"/>
        <v>87.669873543814489</v>
      </c>
      <c r="CB165" s="583">
        <f t="shared" si="268"/>
        <v>-50</v>
      </c>
      <c r="CC165">
        <f t="shared" si="269"/>
        <v>-50</v>
      </c>
    </row>
    <row r="166" spans="5:81" x14ac:dyDescent="0.2">
      <c r="E166" s="178">
        <v>56</v>
      </c>
      <c r="F166" s="225">
        <f t="shared" si="270"/>
        <v>0.16800000000000001</v>
      </c>
      <c r="G166" s="225"/>
      <c r="H166" s="225">
        <f t="shared" si="240"/>
        <v>2.52</v>
      </c>
      <c r="I166" s="561">
        <f t="shared" si="241"/>
        <v>7</v>
      </c>
      <c r="J166" s="456">
        <f t="shared" si="242"/>
        <v>15.25</v>
      </c>
      <c r="K166" s="456">
        <f t="shared" si="243"/>
        <v>22.25</v>
      </c>
      <c r="L166" s="456"/>
      <c r="M166" s="225">
        <f t="shared" si="244"/>
        <v>0.6853932584269663</v>
      </c>
      <c r="N166" s="180">
        <f t="shared" si="245"/>
        <v>3.1305337078651685</v>
      </c>
      <c r="O166" s="180">
        <f t="shared" si="236"/>
        <v>2.52</v>
      </c>
      <c r="P166" s="225">
        <f t="shared" si="246"/>
        <v>0.20870224719101124</v>
      </c>
      <c r="Q166" s="225">
        <f t="shared" si="247"/>
        <v>15</v>
      </c>
      <c r="R166" s="225"/>
      <c r="S166" s="180">
        <f t="shared" si="248"/>
        <v>20.272771135581003</v>
      </c>
      <c r="T166" s="180">
        <f t="shared" si="249"/>
        <v>15</v>
      </c>
      <c r="U166" s="225">
        <f t="shared" si="250"/>
        <v>1.1672131147540985</v>
      </c>
      <c r="V166" s="225">
        <f t="shared" si="251"/>
        <v>6.6697892271662775</v>
      </c>
      <c r="W166" s="225">
        <f t="shared" si="252"/>
        <v>3.0615425960763241</v>
      </c>
      <c r="X166" s="205">
        <f t="shared" si="253"/>
        <v>350</v>
      </c>
      <c r="Y166" s="456">
        <f t="shared" si="195"/>
        <v>102.76085721499808</v>
      </c>
      <c r="AA166" s="225">
        <f t="shared" si="254"/>
        <v>0.34269662921348309</v>
      </c>
      <c r="AB166" s="181">
        <f t="shared" si="255"/>
        <v>0.89887640449438189</v>
      </c>
      <c r="AC166" s="181">
        <f t="shared" si="256"/>
        <v>5.3907334932458008E-2</v>
      </c>
      <c r="AD166" s="181"/>
      <c r="AE166" s="181">
        <f t="shared" si="257"/>
        <v>0.76065573770491812</v>
      </c>
      <c r="AF166" s="565">
        <f t="shared" si="258"/>
        <v>1523.1866825208087</v>
      </c>
      <c r="AG166" s="548">
        <f t="shared" si="259"/>
        <v>3.8603278688524589E-2</v>
      </c>
      <c r="AI166" s="181">
        <f t="shared" si="260"/>
        <v>0.60497933849016694</v>
      </c>
      <c r="AJ166" s="181">
        <f t="shared" si="261"/>
        <v>1.1672131147540985</v>
      </c>
      <c r="AK166" s="181">
        <f t="shared" si="262"/>
        <v>1.8497874924104432</v>
      </c>
      <c r="AM166" s="565">
        <f t="shared" si="263"/>
        <v>168</v>
      </c>
      <c r="AN166" s="474">
        <f t="shared" si="264"/>
        <v>102.76085721499808</v>
      </c>
      <c r="AP166">
        <f t="shared" si="265"/>
        <v>168</v>
      </c>
      <c r="AQ166">
        <f t="shared" si="266"/>
        <v>102.76085721499808</v>
      </c>
      <c r="AS166" s="6">
        <f t="shared" si="237"/>
        <v>9.731331823242602</v>
      </c>
      <c r="AT166" s="6">
        <f t="shared" si="267"/>
        <v>6.6697892271662775</v>
      </c>
      <c r="AU166" s="6">
        <f t="shared" si="210"/>
        <v>3.0615425960763245</v>
      </c>
      <c r="AV166" s="6"/>
      <c r="AW166" s="181">
        <f t="shared" si="211"/>
        <v>0.6853932584269663</v>
      </c>
      <c r="AX166" s="181">
        <f t="shared" si="233"/>
        <v>2.8000000000000003</v>
      </c>
      <c r="AY166" s="181">
        <f t="shared" si="234"/>
        <v>0.1836065573770492</v>
      </c>
      <c r="AZ166" s="181">
        <f t="shared" si="238"/>
        <v>15.25</v>
      </c>
      <c r="BD166" s="181">
        <f t="shared" si="239"/>
        <v>0.55790396180802748</v>
      </c>
      <c r="BE166" s="181">
        <f t="shared" si="235"/>
        <v>0.37798411053494713</v>
      </c>
      <c r="BG166" s="548">
        <f t="shared" si="212"/>
        <v>0.10893989071038254</v>
      </c>
      <c r="BH166" s="548">
        <f t="shared" si="213"/>
        <v>2.6687499999999996E-2</v>
      </c>
      <c r="BI166" s="548">
        <f t="shared" si="214"/>
        <v>1.2845107151874761E-3</v>
      </c>
      <c r="BJ166" s="548">
        <f t="shared" si="215"/>
        <v>2.925200195312499E-3</v>
      </c>
      <c r="BK166">
        <f t="shared" si="216"/>
        <v>2.0300000000000001E-3</v>
      </c>
      <c r="BL166" s="474">
        <f t="shared" si="217"/>
        <v>141.86710162088252</v>
      </c>
      <c r="BM166" s="548">
        <f t="shared" si="218"/>
        <v>5.8799999999999998E-2</v>
      </c>
      <c r="BP166" s="474">
        <f t="shared" si="219"/>
        <v>58.8</v>
      </c>
      <c r="BQ166" s="548">
        <f t="shared" si="220"/>
        <v>0</v>
      </c>
      <c r="BR166" s="548">
        <f t="shared" si="221"/>
        <v>0</v>
      </c>
      <c r="BS166" s="548">
        <f t="shared" si="222"/>
        <v>7.8779767900822948E-3</v>
      </c>
      <c r="BT166" s="548">
        <f t="shared" si="223"/>
        <v>0.14700000000000002</v>
      </c>
      <c r="BU166" s="474">
        <f t="shared" si="224"/>
        <v>154.8779767900823</v>
      </c>
      <c r="BV166" s="181">
        <f t="shared" si="225"/>
        <v>0.35554507841096483</v>
      </c>
      <c r="BW166" s="6">
        <f t="shared" si="226"/>
        <v>2.52</v>
      </c>
      <c r="BX166" s="181">
        <f t="shared" si="227"/>
        <v>0.87635558869157426</v>
      </c>
      <c r="BY166" s="6">
        <f t="shared" si="228"/>
        <v>87.635558869157421</v>
      </c>
      <c r="CB166" s="583">
        <f t="shared" si="268"/>
        <v>-50</v>
      </c>
      <c r="CC166">
        <f t="shared" si="269"/>
        <v>-50</v>
      </c>
    </row>
    <row r="167" spans="5:81" x14ac:dyDescent="0.2">
      <c r="E167" s="178">
        <v>57</v>
      </c>
      <c r="F167" s="225">
        <f t="shared" si="270"/>
        <v>0.17099999999999999</v>
      </c>
      <c r="G167" s="225"/>
      <c r="H167" s="225">
        <f t="shared" si="240"/>
        <v>2.5649999999999999</v>
      </c>
      <c r="I167" s="561">
        <f t="shared" si="241"/>
        <v>7</v>
      </c>
      <c r="J167" s="456">
        <f t="shared" si="242"/>
        <v>15.25</v>
      </c>
      <c r="K167" s="456">
        <f t="shared" si="243"/>
        <v>22.25</v>
      </c>
      <c r="L167" s="456"/>
      <c r="M167" s="225">
        <f t="shared" si="244"/>
        <v>0.6853932584269663</v>
      </c>
      <c r="N167" s="180">
        <f t="shared" si="245"/>
        <v>3.1305337078651685</v>
      </c>
      <c r="O167" s="180">
        <f t="shared" si="236"/>
        <v>2.5649999999999999</v>
      </c>
      <c r="P167" s="225">
        <f t="shared" si="246"/>
        <v>0.20870224719101124</v>
      </c>
      <c r="Q167" s="225">
        <f t="shared" si="247"/>
        <v>15</v>
      </c>
      <c r="R167" s="225"/>
      <c r="S167" s="180">
        <f t="shared" si="248"/>
        <v>19.797817612717971</v>
      </c>
      <c r="T167" s="180">
        <f t="shared" si="249"/>
        <v>15</v>
      </c>
      <c r="U167" s="225">
        <f t="shared" si="250"/>
        <v>1.188056206088993</v>
      </c>
      <c r="V167" s="225">
        <f t="shared" si="251"/>
        <v>6.7888926062228183</v>
      </c>
      <c r="W167" s="225">
        <f t="shared" si="252"/>
        <v>3.1162129995776868</v>
      </c>
      <c r="X167" s="205">
        <f t="shared" si="253"/>
        <v>350</v>
      </c>
      <c r="Y167" s="456">
        <f t="shared" si="195"/>
        <v>100.95803515859461</v>
      </c>
      <c r="AA167" s="225">
        <f t="shared" si="254"/>
        <v>0.34269662921348309</v>
      </c>
      <c r="AB167" s="181">
        <f t="shared" si="255"/>
        <v>0.89887640449438189</v>
      </c>
      <c r="AC167" s="181">
        <f t="shared" si="256"/>
        <v>5.3907334932458008E-2</v>
      </c>
      <c r="AD167" s="181"/>
      <c r="AE167" s="181">
        <f t="shared" si="257"/>
        <v>0.76065573770491812</v>
      </c>
      <c r="AF167" s="565">
        <f t="shared" si="258"/>
        <v>1550.3864447086801</v>
      </c>
      <c r="AG167" s="548">
        <f t="shared" si="259"/>
        <v>3.8603278688524589E-2</v>
      </c>
      <c r="AI167" s="181">
        <f t="shared" si="260"/>
        <v>0.61035703836829325</v>
      </c>
      <c r="AJ167" s="181">
        <f t="shared" si="261"/>
        <v>1.188056206088993</v>
      </c>
      <c r="AK167" s="181">
        <f t="shared" si="262"/>
        <v>1.86522681932518</v>
      </c>
      <c r="AM167" s="565">
        <f t="shared" si="263"/>
        <v>170.99999999999997</v>
      </c>
      <c r="AN167" s="474">
        <f t="shared" si="264"/>
        <v>100.95803515859461</v>
      </c>
      <c r="AP167">
        <f t="shared" si="265"/>
        <v>170.99999999999997</v>
      </c>
      <c r="AQ167">
        <f t="shared" si="266"/>
        <v>100.95803515859461</v>
      </c>
      <c r="AS167" s="6">
        <f t="shared" si="237"/>
        <v>9.9051056058005056</v>
      </c>
      <c r="AT167" s="6">
        <f t="shared" si="267"/>
        <v>6.7888926062228183</v>
      </c>
      <c r="AU167" s="6">
        <f t="shared" si="210"/>
        <v>3.1162129995776873</v>
      </c>
      <c r="AV167" s="6"/>
      <c r="AW167" s="181">
        <f t="shared" si="211"/>
        <v>0.6853932584269663</v>
      </c>
      <c r="AX167" s="181">
        <f t="shared" si="233"/>
        <v>2.8499999999999996</v>
      </c>
      <c r="AY167" s="181">
        <f t="shared" si="234"/>
        <v>0.18688524590163935</v>
      </c>
      <c r="AZ167" s="181">
        <f t="shared" si="238"/>
        <v>15.249999999999998</v>
      </c>
      <c r="BD167" s="181">
        <f t="shared" si="239"/>
        <v>0.56786653255459929</v>
      </c>
      <c r="BE167" s="181">
        <f t="shared" si="235"/>
        <v>0.38473382679449974</v>
      </c>
      <c r="BG167" s="548">
        <f t="shared" si="212"/>
        <v>0.11286533957845431</v>
      </c>
      <c r="BH167" s="548">
        <f t="shared" si="213"/>
        <v>2.6687499999999996E-2</v>
      </c>
      <c r="BI167" s="548">
        <f t="shared" si="214"/>
        <v>1.2619754394824327E-3</v>
      </c>
      <c r="BJ167" s="548">
        <f t="shared" si="215"/>
        <v>2.8738808936403502E-3</v>
      </c>
      <c r="BK167">
        <f t="shared" si="216"/>
        <v>2.0300000000000001E-3</v>
      </c>
      <c r="BL167" s="474">
        <f t="shared" si="217"/>
        <v>145.71869591157707</v>
      </c>
      <c r="BM167" s="548">
        <f t="shared" si="218"/>
        <v>5.9849999999999993E-2</v>
      </c>
      <c r="BP167" s="474">
        <f t="shared" si="219"/>
        <v>59.849999999999994</v>
      </c>
      <c r="BQ167" s="548">
        <f t="shared" si="220"/>
        <v>0</v>
      </c>
      <c r="BR167" s="548">
        <f t="shared" si="221"/>
        <v>0</v>
      </c>
      <c r="BS167" s="548">
        <f t="shared" si="222"/>
        <v>7.877976790082274E-3</v>
      </c>
      <c r="BT167" s="548">
        <f t="shared" si="223"/>
        <v>0.14962499999999998</v>
      </c>
      <c r="BU167" s="474">
        <f t="shared" si="224"/>
        <v>157.50297679008227</v>
      </c>
      <c r="BV167" s="181">
        <f t="shared" si="225"/>
        <v>0.3630716727016593</v>
      </c>
      <c r="BW167" s="6">
        <f t="shared" si="226"/>
        <v>2.5649999999999999</v>
      </c>
      <c r="BX167" s="181">
        <f t="shared" si="227"/>
        <v>0.87600314702451865</v>
      </c>
      <c r="BY167" s="6">
        <f t="shared" si="228"/>
        <v>87.600314702451868</v>
      </c>
      <c r="CB167" s="583">
        <f t="shared" si="268"/>
        <v>-50</v>
      </c>
      <c r="CC167">
        <f t="shared" si="269"/>
        <v>-50</v>
      </c>
    </row>
    <row r="168" spans="5:81" x14ac:dyDescent="0.2">
      <c r="E168" s="178">
        <v>58</v>
      </c>
      <c r="F168" s="225">
        <f t="shared" si="270"/>
        <v>0.17399999999999999</v>
      </c>
      <c r="G168" s="225"/>
      <c r="H168" s="225">
        <f t="shared" si="240"/>
        <v>2.61</v>
      </c>
      <c r="I168" s="561">
        <f t="shared" si="241"/>
        <v>7</v>
      </c>
      <c r="J168" s="456">
        <f t="shared" si="242"/>
        <v>15.25</v>
      </c>
      <c r="K168" s="456">
        <f t="shared" si="243"/>
        <v>22.25</v>
      </c>
      <c r="L168" s="456"/>
      <c r="M168" s="225">
        <f t="shared" si="244"/>
        <v>0.6853932584269663</v>
      </c>
      <c r="N168" s="180">
        <f t="shared" si="245"/>
        <v>3.1305337078651685</v>
      </c>
      <c r="O168" s="180">
        <f t="shared" si="236"/>
        <v>2.61</v>
      </c>
      <c r="P168" s="225">
        <f t="shared" si="246"/>
        <v>0.20870224719101124</v>
      </c>
      <c r="Q168" s="225">
        <f t="shared" si="247"/>
        <v>15</v>
      </c>
      <c r="R168" s="225"/>
      <c r="S168" s="180">
        <f t="shared" si="248"/>
        <v>19.339334327077221</v>
      </c>
      <c r="T168" s="180">
        <f t="shared" si="249"/>
        <v>15</v>
      </c>
      <c r="U168" s="225">
        <f t="shared" si="250"/>
        <v>1.2088992974238877</v>
      </c>
      <c r="V168" s="225">
        <f t="shared" si="251"/>
        <v>6.9079959852793591</v>
      </c>
      <c r="W168" s="225">
        <f t="shared" si="252"/>
        <v>3.17088340307905</v>
      </c>
      <c r="X168" s="205">
        <f t="shared" si="253"/>
        <v>350</v>
      </c>
      <c r="Y168" s="456">
        <f t="shared" si="195"/>
        <v>99.21737937999815</v>
      </c>
      <c r="AA168" s="225">
        <f t="shared" si="254"/>
        <v>0.34269662921348309</v>
      </c>
      <c r="AB168" s="181">
        <f t="shared" si="255"/>
        <v>0.89887640449438189</v>
      </c>
      <c r="AC168" s="181">
        <f t="shared" si="256"/>
        <v>5.3907334932458008E-2</v>
      </c>
      <c r="AD168" s="181"/>
      <c r="AE168" s="181">
        <f t="shared" si="257"/>
        <v>0.76065573770491812</v>
      </c>
      <c r="AF168" s="565">
        <f t="shared" si="258"/>
        <v>1577.5862068965516</v>
      </c>
      <c r="AG168" s="548">
        <f t="shared" si="259"/>
        <v>3.8603278688524589E-2</v>
      </c>
      <c r="AI168" s="181">
        <f t="shared" si="260"/>
        <v>0.6156877687362553</v>
      </c>
      <c r="AJ168" s="181">
        <f t="shared" si="261"/>
        <v>1.2088992974238877</v>
      </c>
      <c r="AK168" s="181">
        <f t="shared" si="262"/>
        <v>1.8806661462399168</v>
      </c>
      <c r="AM168" s="565">
        <f t="shared" si="263"/>
        <v>174</v>
      </c>
      <c r="AN168" s="474">
        <f t="shared" si="264"/>
        <v>99.21737937999815</v>
      </c>
      <c r="AP168">
        <f t="shared" si="265"/>
        <v>174</v>
      </c>
      <c r="AQ168">
        <f t="shared" si="266"/>
        <v>99.21737937999815</v>
      </c>
      <c r="AS168" s="6">
        <f t="shared" si="237"/>
        <v>10.078879388358409</v>
      </c>
      <c r="AT168" s="6">
        <f t="shared" si="267"/>
        <v>6.9079959852793591</v>
      </c>
      <c r="AU168" s="6">
        <f t="shared" si="210"/>
        <v>3.17088340307905</v>
      </c>
      <c r="AV168" s="6"/>
      <c r="AW168" s="181">
        <f t="shared" si="211"/>
        <v>0.6853932584269663</v>
      </c>
      <c r="AX168" s="181">
        <f t="shared" si="233"/>
        <v>2.9</v>
      </c>
      <c r="AY168" s="181">
        <f t="shared" si="234"/>
        <v>0.19016393442622953</v>
      </c>
      <c r="AZ168" s="181">
        <f t="shared" si="238"/>
        <v>15.249999999999998</v>
      </c>
      <c r="BD168" s="181">
        <f t="shared" si="239"/>
        <v>0.57782910330117132</v>
      </c>
      <c r="BE168" s="181">
        <f t="shared" si="235"/>
        <v>0.39148354305405236</v>
      </c>
      <c r="BG168" s="548">
        <f t="shared" si="212"/>
        <v>0.11686026541764249</v>
      </c>
      <c r="BH168" s="548">
        <f t="shared" si="213"/>
        <v>2.6687499999999996E-2</v>
      </c>
      <c r="BI168" s="548">
        <f t="shared" si="214"/>
        <v>1.2402172422499769E-3</v>
      </c>
      <c r="BJ168" s="548">
        <f t="shared" si="215"/>
        <v>2.8243312230603439E-3</v>
      </c>
      <c r="BK168">
        <f t="shared" si="216"/>
        <v>2.0300000000000001E-3</v>
      </c>
      <c r="BL168" s="474">
        <f t="shared" si="217"/>
        <v>149.64231388295283</v>
      </c>
      <c r="BM168" s="548">
        <f t="shared" si="218"/>
        <v>6.0899999999999989E-2</v>
      </c>
      <c r="BP168" s="474">
        <f t="shared" si="219"/>
        <v>60.899999999999991</v>
      </c>
      <c r="BQ168" s="548">
        <f t="shared" si="220"/>
        <v>0</v>
      </c>
      <c r="BR168" s="548">
        <f t="shared" si="221"/>
        <v>0</v>
      </c>
      <c r="BS168" s="548">
        <f t="shared" si="222"/>
        <v>7.8779767900822827E-3</v>
      </c>
      <c r="BT168" s="548">
        <f t="shared" si="223"/>
        <v>0.15225000000000002</v>
      </c>
      <c r="BU168" s="474">
        <f t="shared" si="224"/>
        <v>160.1279767900823</v>
      </c>
      <c r="BV168" s="181">
        <f t="shared" si="225"/>
        <v>0.37067029067303514</v>
      </c>
      <c r="BW168" s="6">
        <f t="shared" si="226"/>
        <v>2.61</v>
      </c>
      <c r="BX168" s="181">
        <f t="shared" si="227"/>
        <v>0.87564196824019147</v>
      </c>
      <c r="BY168" s="6">
        <f t="shared" si="228"/>
        <v>87.564196824019149</v>
      </c>
      <c r="CB168" s="583">
        <f t="shared" si="268"/>
        <v>-50</v>
      </c>
      <c r="CC168">
        <f t="shared" si="269"/>
        <v>-50</v>
      </c>
    </row>
    <row r="169" spans="5:81" x14ac:dyDescent="0.2">
      <c r="E169" s="178">
        <v>59</v>
      </c>
      <c r="F169" s="225">
        <f t="shared" si="270"/>
        <v>0.17699999999999999</v>
      </c>
      <c r="G169" s="225"/>
      <c r="H169" s="225">
        <f t="shared" si="240"/>
        <v>2.6549999999999998</v>
      </c>
      <c r="I169" s="561">
        <f t="shared" si="241"/>
        <v>7</v>
      </c>
      <c r="J169" s="456">
        <f t="shared" si="242"/>
        <v>15.25</v>
      </c>
      <c r="K169" s="456">
        <f t="shared" si="243"/>
        <v>22.25</v>
      </c>
      <c r="L169" s="456"/>
      <c r="M169" s="225">
        <f t="shared" si="244"/>
        <v>0.6853932584269663</v>
      </c>
      <c r="N169" s="180">
        <f t="shared" si="245"/>
        <v>3.1305337078651685</v>
      </c>
      <c r="O169" s="180">
        <f t="shared" si="236"/>
        <v>2.6549999999999998</v>
      </c>
      <c r="P169" s="225">
        <f t="shared" si="246"/>
        <v>0.20870224719101124</v>
      </c>
      <c r="Q169" s="225">
        <f t="shared" si="247"/>
        <v>15</v>
      </c>
      <c r="R169" s="225"/>
      <c r="S169" s="180">
        <f t="shared" si="248"/>
        <v>18.896485332845813</v>
      </c>
      <c r="T169" s="180">
        <f t="shared" si="249"/>
        <v>15</v>
      </c>
      <c r="U169" s="225">
        <f t="shared" si="250"/>
        <v>1.2297423887587822</v>
      </c>
      <c r="V169" s="225">
        <f t="shared" si="251"/>
        <v>7.0270993643358981</v>
      </c>
      <c r="W169" s="225">
        <f t="shared" si="252"/>
        <v>3.2255538065804124</v>
      </c>
      <c r="X169" s="205">
        <f t="shared" si="253"/>
        <v>350</v>
      </c>
      <c r="Y169" s="456">
        <f t="shared" si="195"/>
        <v>97.535728882032103</v>
      </c>
      <c r="AA169" s="225">
        <f t="shared" si="254"/>
        <v>0.34269662921348309</v>
      </c>
      <c r="AB169" s="181">
        <f t="shared" si="255"/>
        <v>0.89887640449438189</v>
      </c>
      <c r="AC169" s="181">
        <f t="shared" si="256"/>
        <v>5.3907334932458008E-2</v>
      </c>
      <c r="AD169" s="181"/>
      <c r="AE169" s="181">
        <f t="shared" si="257"/>
        <v>0.76065573770491812</v>
      </c>
      <c r="AF169" s="565">
        <f t="shared" si="258"/>
        <v>1604.7859690844232</v>
      </c>
      <c r="AG169" s="548">
        <f t="shared" si="259"/>
        <v>3.8603278688524589E-2</v>
      </c>
      <c r="AI169" s="181">
        <f t="shared" si="260"/>
        <v>0.62097273922221641</v>
      </c>
      <c r="AJ169" s="181">
        <f t="shared" si="261"/>
        <v>1.2297423887587822</v>
      </c>
      <c r="AK169" s="181">
        <f t="shared" si="262"/>
        <v>1.8961054731546534</v>
      </c>
      <c r="AM169" s="565">
        <f t="shared" si="263"/>
        <v>177</v>
      </c>
      <c r="AN169" s="474">
        <f t="shared" si="264"/>
        <v>97.535728882032103</v>
      </c>
      <c r="AP169">
        <f t="shared" si="265"/>
        <v>177</v>
      </c>
      <c r="AQ169">
        <f t="shared" si="266"/>
        <v>97.535728882032103</v>
      </c>
      <c r="AS169" s="6">
        <f t="shared" si="237"/>
        <v>10.252653170916311</v>
      </c>
      <c r="AT169" s="6">
        <f t="shared" si="267"/>
        <v>7.0270993643358981</v>
      </c>
      <c r="AU169" s="6">
        <f t="shared" si="210"/>
        <v>3.2255538065804128</v>
      </c>
      <c r="AV169" s="6"/>
      <c r="AW169" s="181">
        <f t="shared" si="211"/>
        <v>0.6853932584269663</v>
      </c>
      <c r="AX169" s="181">
        <f t="shared" si="233"/>
        <v>2.9499999999999997</v>
      </c>
      <c r="AY169" s="181">
        <f t="shared" si="234"/>
        <v>0.19344262295081965</v>
      </c>
      <c r="AZ169" s="181">
        <f t="shared" si="238"/>
        <v>15.25</v>
      </c>
      <c r="BD169" s="181">
        <f t="shared" si="239"/>
        <v>0.58779167404774313</v>
      </c>
      <c r="BE169" s="181">
        <f t="shared" si="235"/>
        <v>0.39823325931360498</v>
      </c>
      <c r="BG169" s="548">
        <f t="shared" si="212"/>
        <v>0.12092466822794691</v>
      </c>
      <c r="BH169" s="548">
        <f t="shared" si="213"/>
        <v>2.6687499999999999E-2</v>
      </c>
      <c r="BI169" s="548">
        <f t="shared" si="214"/>
        <v>1.2191966110254011E-3</v>
      </c>
      <c r="BJ169" s="548">
        <f t="shared" si="215"/>
        <v>2.7764612023305083E-3</v>
      </c>
      <c r="BK169">
        <f t="shared" si="216"/>
        <v>2.0300000000000001E-3</v>
      </c>
      <c r="BL169" s="474">
        <f t="shared" si="217"/>
        <v>153.63782604130282</v>
      </c>
      <c r="BM169" s="548">
        <f t="shared" si="218"/>
        <v>6.1949999999999991E-2</v>
      </c>
      <c r="BP169" s="474">
        <f t="shared" si="219"/>
        <v>61.949999999999989</v>
      </c>
      <c r="BQ169" s="548">
        <f t="shared" si="220"/>
        <v>0</v>
      </c>
      <c r="BR169" s="548">
        <f t="shared" si="221"/>
        <v>0</v>
      </c>
      <c r="BS169" s="548">
        <f t="shared" si="222"/>
        <v>7.8779767900822844E-3</v>
      </c>
      <c r="BT169" s="548">
        <f t="shared" si="223"/>
        <v>0.15487500000000001</v>
      </c>
      <c r="BU169" s="474">
        <f t="shared" si="224"/>
        <v>162.7529767900823</v>
      </c>
      <c r="BV169" s="181">
        <f t="shared" si="225"/>
        <v>0.37834080283138516</v>
      </c>
      <c r="BW169" s="6">
        <f t="shared" si="226"/>
        <v>2.6549999999999998</v>
      </c>
      <c r="BX169" s="181">
        <f t="shared" si="227"/>
        <v>0.87527256994062996</v>
      </c>
      <c r="BY169" s="6">
        <f t="shared" si="228"/>
        <v>87.527256994062995</v>
      </c>
      <c r="CB169" s="583">
        <f t="shared" si="268"/>
        <v>-50</v>
      </c>
      <c r="CC169">
        <f t="shared" si="269"/>
        <v>-50</v>
      </c>
    </row>
    <row r="170" spans="5:81" x14ac:dyDescent="0.2">
      <c r="E170" s="178">
        <v>60</v>
      </c>
      <c r="F170" s="225">
        <f t="shared" si="270"/>
        <v>0.18</v>
      </c>
      <c r="G170" s="225"/>
      <c r="H170" s="225">
        <f t="shared" si="240"/>
        <v>2.6999999999999997</v>
      </c>
      <c r="I170" s="561">
        <f t="shared" si="241"/>
        <v>7</v>
      </c>
      <c r="J170" s="456">
        <f t="shared" si="242"/>
        <v>15.25</v>
      </c>
      <c r="K170" s="456">
        <f t="shared" si="243"/>
        <v>22.25</v>
      </c>
      <c r="L170" s="456"/>
      <c r="M170" s="225">
        <f t="shared" si="244"/>
        <v>0.6853932584269663</v>
      </c>
      <c r="N170" s="180">
        <f t="shared" si="245"/>
        <v>3.1305337078651685</v>
      </c>
      <c r="O170" s="180">
        <f t="shared" si="236"/>
        <v>2.6999999999999997</v>
      </c>
      <c r="P170" s="225">
        <f t="shared" si="246"/>
        <v>0.20870224719101124</v>
      </c>
      <c r="Q170" s="225">
        <f t="shared" si="247"/>
        <v>15</v>
      </c>
      <c r="R170" s="225"/>
      <c r="S170" s="180">
        <f t="shared" si="248"/>
        <v>18.468490444923919</v>
      </c>
      <c r="T170" s="180">
        <f t="shared" si="249"/>
        <v>15</v>
      </c>
      <c r="U170" s="225">
        <f t="shared" si="250"/>
        <v>1.2505854800936769</v>
      </c>
      <c r="V170" s="225">
        <f t="shared" si="251"/>
        <v>7.1462027433924398</v>
      </c>
      <c r="W170" s="225">
        <f t="shared" si="252"/>
        <v>3.280224210081776</v>
      </c>
      <c r="X170" s="205">
        <f t="shared" si="253"/>
        <v>350</v>
      </c>
      <c r="Y170" s="456">
        <f t="shared" ref="Y170:Y210" si="271">MIN(1/(V170+W170)*1000, 350)</f>
        <v>95.91013340066489</v>
      </c>
      <c r="AA170" s="225">
        <f t="shared" si="254"/>
        <v>0.34269662921348309</v>
      </c>
      <c r="AB170" s="181">
        <f t="shared" si="255"/>
        <v>0.89887640449438189</v>
      </c>
      <c r="AC170" s="181">
        <f t="shared" si="256"/>
        <v>5.3907334932458008E-2</v>
      </c>
      <c r="AD170" s="181"/>
      <c r="AE170" s="181">
        <f t="shared" si="257"/>
        <v>0.76065573770491812</v>
      </c>
      <c r="AF170" s="565">
        <f t="shared" si="258"/>
        <v>1631.985731272295</v>
      </c>
      <c r="AG170" s="548">
        <f t="shared" si="259"/>
        <v>3.8603278688524589E-2</v>
      </c>
      <c r="AI170" s="181">
        <f t="shared" si="260"/>
        <v>0.62621310840867672</v>
      </c>
      <c r="AJ170" s="181">
        <f t="shared" si="261"/>
        <v>1.2505854800936769</v>
      </c>
      <c r="AK170" s="181">
        <f t="shared" si="262"/>
        <v>1.9115448000693902</v>
      </c>
      <c r="AM170" s="565">
        <f t="shared" si="263"/>
        <v>180</v>
      </c>
      <c r="AN170" s="474">
        <f t="shared" si="264"/>
        <v>95.91013340066489</v>
      </c>
      <c r="AP170">
        <f t="shared" si="265"/>
        <v>180</v>
      </c>
      <c r="AQ170">
        <f t="shared" si="266"/>
        <v>95.91013340066489</v>
      </c>
      <c r="AS170" s="6">
        <f t="shared" si="237"/>
        <v>10.426426953474214</v>
      </c>
      <c r="AT170" s="6">
        <f t="shared" si="267"/>
        <v>7.1462027433924398</v>
      </c>
      <c r="AU170" s="6">
        <f t="shared" ref="AU170:AU233" si="272">AS170-AT170</f>
        <v>3.2802242100817747</v>
      </c>
      <c r="AV170" s="6"/>
      <c r="AW170" s="181">
        <f t="shared" ref="AW170:AW233" si="273">AT170/AS170</f>
        <v>0.6853932584269663</v>
      </c>
      <c r="AX170" s="181">
        <f t="shared" si="233"/>
        <v>3.0000000000000004</v>
      </c>
      <c r="AY170" s="181">
        <f t="shared" si="234"/>
        <v>0.19672131147540983</v>
      </c>
      <c r="AZ170" s="181">
        <f t="shared" si="238"/>
        <v>15.250000000000002</v>
      </c>
      <c r="BD170" s="181">
        <f t="shared" si="239"/>
        <v>0.59775424479431505</v>
      </c>
      <c r="BE170" s="181">
        <f t="shared" si="235"/>
        <v>0.4049829755731576</v>
      </c>
      <c r="BG170" s="548">
        <f t="shared" ref="BG170:BG210" si="274">Rdson*BD170^2</f>
        <v>0.12505854800936766</v>
      </c>
      <c r="BH170" s="548">
        <f t="shared" ref="BH170:BH210" si="275">0.5*K170*AJ170*AN170*1000*Trise</f>
        <v>2.6687499999999999E-2</v>
      </c>
      <c r="BI170" s="548">
        <f t="shared" ref="BI170:BI210" si="276">Qg*Vdd*AN170*1000</f>
        <v>1.198876667508311E-3</v>
      </c>
      <c r="BJ170" s="548">
        <f t="shared" ref="BJ170:BJ210" si="277">0.5*(Coss+Csw)*K170^2*AN170*1000</f>
        <v>2.7301868489583328E-3</v>
      </c>
      <c r="BK170">
        <f t="shared" ref="BK170:BK210" si="278">I170*IQ</f>
        <v>2.0300000000000001E-3</v>
      </c>
      <c r="BL170" s="474">
        <f t="shared" ref="BL170:BL210" si="279">SUM(BG170:BK170)*1000</f>
        <v>157.70511152583433</v>
      </c>
      <c r="BM170" s="548">
        <f t="shared" ref="BM170:BM210" si="280">Vfwd2*F170</f>
        <v>6.3E-2</v>
      </c>
      <c r="BP170" s="474">
        <f t="shared" ref="BP170:BP210" si="281">SUM(BM170:BO170)*1000</f>
        <v>63</v>
      </c>
      <c r="BQ170" s="548">
        <f t="shared" ref="BQ170:BQ210" si="282">Rdcr_pri*BD170^2</f>
        <v>0</v>
      </c>
      <c r="BR170" s="548">
        <f t="shared" ref="BR170:BR210" si="283">Rdcr_sec*BE170^2</f>
        <v>0</v>
      </c>
      <c r="BS170" s="548">
        <f t="shared" ref="BS170:BS210" si="284">AJ170^2.5*AN170^2.5*k_core</f>
        <v>7.8779767900822757E-3</v>
      </c>
      <c r="BT170" s="548">
        <f t="shared" ref="BT170:BT210" si="285">0.5*Lleak*0.000000001*AJ170^2*AN170*1000</f>
        <v>0.15750000000000003</v>
      </c>
      <c r="BU170" s="474">
        <f t="shared" ref="BU170:BU210" si="286">SUM(BQ170:BT170)*1000</f>
        <v>165.37797679008233</v>
      </c>
      <c r="BV170" s="181">
        <f t="shared" ref="BV170:BV210" si="287">SUM(BG170:BK170,BM170:BO170,BQ170:BT170)</f>
        <v>0.38608308831591664</v>
      </c>
      <c r="BW170" s="6">
        <f t="shared" ref="BW170:BW210" si="288">MIN(H170,O170)</f>
        <v>2.6999999999999997</v>
      </c>
      <c r="BX170" s="181">
        <f t="shared" ref="BX170:BX210" si="289">BW170/(BW170+BV170)</f>
        <v>0.87489543305633966</v>
      </c>
      <c r="BY170" s="6">
        <f t="shared" ref="BY170:BY210" si="290">BX170*100</f>
        <v>87.489543305633958</v>
      </c>
      <c r="CB170" s="583">
        <f t="shared" si="268"/>
        <v>-50</v>
      </c>
      <c r="CC170">
        <f t="shared" si="269"/>
        <v>-50</v>
      </c>
    </row>
    <row r="171" spans="5:81" x14ac:dyDescent="0.2">
      <c r="E171" s="178">
        <v>61</v>
      </c>
      <c r="F171" s="225">
        <f t="shared" si="270"/>
        <v>0.183</v>
      </c>
      <c r="G171" s="225"/>
      <c r="H171" s="225">
        <f t="shared" si="240"/>
        <v>2.7450000000000001</v>
      </c>
      <c r="I171" s="561">
        <f t="shared" si="241"/>
        <v>7</v>
      </c>
      <c r="J171" s="456">
        <f t="shared" si="242"/>
        <v>15.25</v>
      </c>
      <c r="K171" s="456">
        <f t="shared" si="243"/>
        <v>22.25</v>
      </c>
      <c r="L171" s="456"/>
      <c r="M171" s="225">
        <f t="shared" si="244"/>
        <v>0.6853932584269663</v>
      </c>
      <c r="N171" s="180">
        <f t="shared" si="245"/>
        <v>3.1305337078651685</v>
      </c>
      <c r="O171" s="180">
        <f t="shared" si="236"/>
        <v>2.7450000000000001</v>
      </c>
      <c r="P171" s="225">
        <f t="shared" si="246"/>
        <v>0.20870224719101124</v>
      </c>
      <c r="Q171" s="225">
        <f t="shared" si="247"/>
        <v>15</v>
      </c>
      <c r="R171" s="225"/>
      <c r="S171" s="180">
        <f t="shared" si="248"/>
        <v>18.05462066908629</v>
      </c>
      <c r="T171" s="180">
        <f t="shared" si="249"/>
        <v>15</v>
      </c>
      <c r="U171" s="225">
        <f t="shared" si="250"/>
        <v>1.2714285714285716</v>
      </c>
      <c r="V171" s="225">
        <f t="shared" si="251"/>
        <v>7.2653061224489814</v>
      </c>
      <c r="W171" s="225">
        <f t="shared" si="252"/>
        <v>3.3348946135831388</v>
      </c>
      <c r="X171" s="205">
        <f t="shared" si="253"/>
        <v>350</v>
      </c>
      <c r="Y171" s="456">
        <f t="shared" si="271"/>
        <v>94.337836131801524</v>
      </c>
      <c r="AA171" s="225">
        <f t="shared" si="254"/>
        <v>0.34269662921348309</v>
      </c>
      <c r="AB171" s="181">
        <f t="shared" si="255"/>
        <v>0.89887640449438189</v>
      </c>
      <c r="AC171" s="181">
        <f t="shared" si="256"/>
        <v>5.3907334932458008E-2</v>
      </c>
      <c r="AD171" s="181"/>
      <c r="AE171" s="181">
        <f t="shared" si="257"/>
        <v>0.76065573770491812</v>
      </c>
      <c r="AF171" s="565">
        <f t="shared" si="258"/>
        <v>1659.1854934601665</v>
      </c>
      <c r="AG171" s="548">
        <f t="shared" si="259"/>
        <v>3.8603278688524589E-2</v>
      </c>
      <c r="AI171" s="181">
        <f t="shared" si="260"/>
        <v>0.63140998679825411</v>
      </c>
      <c r="AJ171" s="181">
        <f t="shared" si="261"/>
        <v>1.2714285714285716</v>
      </c>
      <c r="AK171" s="181">
        <f t="shared" si="262"/>
        <v>1.926984126984127</v>
      </c>
      <c r="AM171" s="565">
        <f t="shared" si="263"/>
        <v>183</v>
      </c>
      <c r="AN171" s="474">
        <f t="shared" si="264"/>
        <v>94.337836131801524</v>
      </c>
      <c r="AP171">
        <f t="shared" si="265"/>
        <v>183</v>
      </c>
      <c r="AQ171">
        <f t="shared" si="266"/>
        <v>94.337836131801524</v>
      </c>
      <c r="AS171" s="6">
        <f t="shared" si="237"/>
        <v>10.60020073603212</v>
      </c>
      <c r="AT171" s="6">
        <f t="shared" si="267"/>
        <v>7.2653061224489814</v>
      </c>
      <c r="AU171" s="6">
        <f t="shared" si="272"/>
        <v>3.3348946135831383</v>
      </c>
      <c r="AV171" s="6"/>
      <c r="AW171" s="181">
        <f t="shared" si="273"/>
        <v>0.6853932584269663</v>
      </c>
      <c r="AX171" s="181">
        <f t="shared" si="233"/>
        <v>3.0500000000000007</v>
      </c>
      <c r="AY171" s="181">
        <f t="shared" si="234"/>
        <v>0.2</v>
      </c>
      <c r="AZ171" s="181">
        <f t="shared" si="238"/>
        <v>15.250000000000004</v>
      </c>
      <c r="BD171" s="181">
        <f t="shared" si="239"/>
        <v>0.60771681554088708</v>
      </c>
      <c r="BE171" s="181">
        <f t="shared" si="235"/>
        <v>0.41173269183271027</v>
      </c>
      <c r="BG171" s="548">
        <f t="shared" si="274"/>
        <v>0.1292619047619048</v>
      </c>
      <c r="BH171" s="548">
        <f t="shared" si="275"/>
        <v>2.6687499999999999E-2</v>
      </c>
      <c r="BI171" s="548">
        <f t="shared" si="276"/>
        <v>1.179222951647519E-3</v>
      </c>
      <c r="BJ171" s="548">
        <f t="shared" si="277"/>
        <v>2.6854296874999992E-3</v>
      </c>
      <c r="BK171">
        <f t="shared" si="278"/>
        <v>2.0300000000000001E-3</v>
      </c>
      <c r="BL171" s="474">
        <f t="shared" si="279"/>
        <v>161.84405740105231</v>
      </c>
      <c r="BM171" s="548">
        <f t="shared" si="280"/>
        <v>6.4049999999999996E-2</v>
      </c>
      <c r="BP171" s="474">
        <f t="shared" si="281"/>
        <v>64.05</v>
      </c>
      <c r="BQ171" s="548">
        <f t="shared" si="282"/>
        <v>0</v>
      </c>
      <c r="BR171" s="548">
        <f t="shared" si="283"/>
        <v>0</v>
      </c>
      <c r="BS171" s="548">
        <f t="shared" si="284"/>
        <v>7.877976790082274E-3</v>
      </c>
      <c r="BT171" s="548">
        <f t="shared" si="285"/>
        <v>0.16012500000000002</v>
      </c>
      <c r="BU171" s="474">
        <f t="shared" si="286"/>
        <v>168.0029767900823</v>
      </c>
      <c r="BV171" s="181">
        <f t="shared" si="287"/>
        <v>0.39389703419113464</v>
      </c>
      <c r="BW171" s="6">
        <f t="shared" si="288"/>
        <v>2.7450000000000001</v>
      </c>
      <c r="BX171" s="181">
        <f t="shared" si="289"/>
        <v>0.87451100501210344</v>
      </c>
      <c r="BY171" s="6">
        <f t="shared" si="290"/>
        <v>87.451100501210348</v>
      </c>
      <c r="CB171" s="583">
        <f t="shared" si="268"/>
        <v>-50</v>
      </c>
      <c r="CC171">
        <f t="shared" si="269"/>
        <v>-50</v>
      </c>
    </row>
    <row r="172" spans="5:81" x14ac:dyDescent="0.2">
      <c r="E172" s="178">
        <v>62</v>
      </c>
      <c r="F172" s="225">
        <f t="shared" si="270"/>
        <v>0.186</v>
      </c>
      <c r="G172" s="225"/>
      <c r="H172" s="225">
        <f t="shared" si="240"/>
        <v>2.79</v>
      </c>
      <c r="I172" s="561">
        <f t="shared" si="241"/>
        <v>7</v>
      </c>
      <c r="J172" s="456">
        <f t="shared" si="242"/>
        <v>15.25</v>
      </c>
      <c r="K172" s="456">
        <f t="shared" si="243"/>
        <v>22.25</v>
      </c>
      <c r="L172" s="456"/>
      <c r="M172" s="225">
        <f t="shared" si="244"/>
        <v>0.6853932584269663</v>
      </c>
      <c r="N172" s="180">
        <f t="shared" si="245"/>
        <v>3.1305337078651685</v>
      </c>
      <c r="O172" s="180">
        <f t="shared" si="236"/>
        <v>2.79</v>
      </c>
      <c r="P172" s="225">
        <f t="shared" si="246"/>
        <v>0.20870224719101124</v>
      </c>
      <c r="Q172" s="225">
        <f t="shared" si="247"/>
        <v>15</v>
      </c>
      <c r="R172" s="225"/>
      <c r="S172" s="180">
        <f t="shared" si="248"/>
        <v>17.654194074402898</v>
      </c>
      <c r="T172" s="180">
        <f t="shared" si="249"/>
        <v>15</v>
      </c>
      <c r="U172" s="225">
        <f t="shared" si="250"/>
        <v>1.2922716627634661</v>
      </c>
      <c r="V172" s="225">
        <f t="shared" si="251"/>
        <v>7.3844095015055204</v>
      </c>
      <c r="W172" s="225">
        <f t="shared" si="252"/>
        <v>3.3895650170845011</v>
      </c>
      <c r="X172" s="205">
        <f t="shared" si="253"/>
        <v>350</v>
      </c>
      <c r="Y172" s="456">
        <f t="shared" si="271"/>
        <v>92.816258129675717</v>
      </c>
      <c r="AA172" s="225">
        <f t="shared" si="254"/>
        <v>0.34269662921348309</v>
      </c>
      <c r="AB172" s="181">
        <f t="shared" si="255"/>
        <v>0.89887640449438189</v>
      </c>
      <c r="AC172" s="181">
        <f t="shared" si="256"/>
        <v>5.3907334932458008E-2</v>
      </c>
      <c r="AD172" s="181"/>
      <c r="AE172" s="181">
        <f t="shared" si="257"/>
        <v>0.76065573770491812</v>
      </c>
      <c r="AF172" s="565">
        <f t="shared" si="258"/>
        <v>1686.3852556480381</v>
      </c>
      <c r="AG172" s="548">
        <f t="shared" si="259"/>
        <v>3.8603278688524589E-2</v>
      </c>
      <c r="AI172" s="181">
        <f t="shared" si="260"/>
        <v>0.63656443956153075</v>
      </c>
      <c r="AJ172" s="181">
        <f t="shared" si="261"/>
        <v>1.2922716627634661</v>
      </c>
      <c r="AK172" s="181">
        <f t="shared" si="262"/>
        <v>1.9424234538988636</v>
      </c>
      <c r="AM172" s="565">
        <f t="shared" si="263"/>
        <v>186</v>
      </c>
      <c r="AN172" s="474">
        <f t="shared" si="264"/>
        <v>92.816258129675717</v>
      </c>
      <c r="AP172">
        <f t="shared" si="265"/>
        <v>186</v>
      </c>
      <c r="AQ172">
        <f t="shared" si="266"/>
        <v>92.816258129675717</v>
      </c>
      <c r="AS172" s="6">
        <f t="shared" si="237"/>
        <v>10.77397451859002</v>
      </c>
      <c r="AT172" s="6">
        <f t="shared" si="267"/>
        <v>7.3844095015055204</v>
      </c>
      <c r="AU172" s="6">
        <f t="shared" si="272"/>
        <v>3.3895650170844993</v>
      </c>
      <c r="AV172" s="6"/>
      <c r="AW172" s="181">
        <f t="shared" si="273"/>
        <v>0.68539325842696641</v>
      </c>
      <c r="AX172" s="181">
        <f t="shared" si="233"/>
        <v>3.100000000000001</v>
      </c>
      <c r="AY172" s="181">
        <f t="shared" si="234"/>
        <v>0.20327868852459008</v>
      </c>
      <c r="AZ172" s="181">
        <f t="shared" si="238"/>
        <v>15.250000000000011</v>
      </c>
      <c r="BD172" s="181">
        <f t="shared" si="239"/>
        <v>0.617679386287459</v>
      </c>
      <c r="BE172" s="181">
        <f t="shared" si="235"/>
        <v>0.41848240809226278</v>
      </c>
      <c r="BG172" s="548">
        <f t="shared" si="274"/>
        <v>0.13353473848555819</v>
      </c>
      <c r="BH172" s="548">
        <f t="shared" si="275"/>
        <v>2.6687500000000006E-2</v>
      </c>
      <c r="BI172" s="548">
        <f t="shared" si="276"/>
        <v>1.1602032266209465E-3</v>
      </c>
      <c r="BJ172" s="548">
        <f t="shared" si="277"/>
        <v>2.6421163054435484E-3</v>
      </c>
      <c r="BK172">
        <f t="shared" si="278"/>
        <v>2.0300000000000001E-3</v>
      </c>
      <c r="BL172" s="474">
        <f t="shared" si="279"/>
        <v>166.0545580176227</v>
      </c>
      <c r="BM172" s="548">
        <f t="shared" si="280"/>
        <v>6.5099999999999991E-2</v>
      </c>
      <c r="BP172" s="474">
        <f t="shared" si="281"/>
        <v>65.099999999999994</v>
      </c>
      <c r="BQ172" s="548">
        <f t="shared" si="282"/>
        <v>0</v>
      </c>
      <c r="BR172" s="548">
        <f t="shared" si="283"/>
        <v>0</v>
      </c>
      <c r="BS172" s="548">
        <f t="shared" si="284"/>
        <v>7.8779767900822948E-3</v>
      </c>
      <c r="BT172" s="548">
        <f t="shared" si="285"/>
        <v>0.16275000000000003</v>
      </c>
      <c r="BU172" s="474">
        <f t="shared" si="286"/>
        <v>170.62797679008233</v>
      </c>
      <c r="BV172" s="181">
        <f t="shared" si="287"/>
        <v>0.40178253480770498</v>
      </c>
      <c r="BW172" s="6">
        <f t="shared" si="288"/>
        <v>2.79</v>
      </c>
      <c r="BX172" s="181">
        <f t="shared" si="289"/>
        <v>0.87411970257180716</v>
      </c>
      <c r="BY172" s="6">
        <f t="shared" si="290"/>
        <v>87.411970257180712</v>
      </c>
      <c r="CB172" s="583">
        <f t="shared" si="268"/>
        <v>-50</v>
      </c>
      <c r="CC172">
        <f t="shared" si="269"/>
        <v>-50</v>
      </c>
    </row>
    <row r="173" spans="5:81" x14ac:dyDescent="0.2">
      <c r="E173" s="178">
        <v>63</v>
      </c>
      <c r="F173" s="225">
        <f t="shared" si="270"/>
        <v>0.189</v>
      </c>
      <c r="G173" s="225"/>
      <c r="H173" s="225">
        <f t="shared" si="240"/>
        <v>2.835</v>
      </c>
      <c r="I173" s="561">
        <f t="shared" si="241"/>
        <v>7</v>
      </c>
      <c r="J173" s="456">
        <f t="shared" si="242"/>
        <v>15.25</v>
      </c>
      <c r="K173" s="456">
        <f t="shared" si="243"/>
        <v>22.25</v>
      </c>
      <c r="L173" s="456"/>
      <c r="M173" s="225">
        <f t="shared" si="244"/>
        <v>0.6853932584269663</v>
      </c>
      <c r="N173" s="180">
        <f t="shared" si="245"/>
        <v>3.1305337078651685</v>
      </c>
      <c r="O173" s="180">
        <f t="shared" si="236"/>
        <v>2.835</v>
      </c>
      <c r="P173" s="225">
        <f t="shared" si="246"/>
        <v>0.20870224719101124</v>
      </c>
      <c r="Q173" s="225">
        <f t="shared" si="247"/>
        <v>15</v>
      </c>
      <c r="R173" s="225"/>
      <c r="S173" s="180">
        <f t="shared" si="248"/>
        <v>17.266572058779211</v>
      </c>
      <c r="T173" s="180">
        <f t="shared" si="249"/>
        <v>15</v>
      </c>
      <c r="U173" s="225">
        <f t="shared" si="250"/>
        <v>1.3131147540983608</v>
      </c>
      <c r="V173" s="225">
        <f t="shared" si="251"/>
        <v>7.5035128805620621</v>
      </c>
      <c r="W173" s="225">
        <f t="shared" si="252"/>
        <v>3.4442354205858643</v>
      </c>
      <c r="X173" s="205">
        <f t="shared" si="253"/>
        <v>350</v>
      </c>
      <c r="Y173" s="456">
        <f t="shared" si="271"/>
        <v>91.342984191109409</v>
      </c>
      <c r="AA173" s="225">
        <f t="shared" si="254"/>
        <v>0.34269662921348309</v>
      </c>
      <c r="AB173" s="181">
        <f t="shared" si="255"/>
        <v>0.89887640449438189</v>
      </c>
      <c r="AC173" s="181">
        <f t="shared" si="256"/>
        <v>5.3907334932458008E-2</v>
      </c>
      <c r="AD173" s="181"/>
      <c r="AE173" s="181">
        <f t="shared" si="257"/>
        <v>0.76065573770491812</v>
      </c>
      <c r="AF173" s="565">
        <f t="shared" si="258"/>
        <v>1713.5850178359094</v>
      </c>
      <c r="AG173" s="548">
        <f t="shared" si="259"/>
        <v>3.8603278688524589E-2</v>
      </c>
      <c r="AI173" s="181">
        <f t="shared" si="260"/>
        <v>0.64167748908622313</v>
      </c>
      <c r="AJ173" s="181">
        <f t="shared" si="261"/>
        <v>1.3131147540983608</v>
      </c>
      <c r="AK173" s="181">
        <f t="shared" si="262"/>
        <v>1.9578627808136004</v>
      </c>
      <c r="AM173" s="565">
        <f t="shared" si="263"/>
        <v>189</v>
      </c>
      <c r="AN173" s="474">
        <f t="shared" si="264"/>
        <v>91.342984191109409</v>
      </c>
      <c r="AP173">
        <f t="shared" si="265"/>
        <v>189</v>
      </c>
      <c r="AQ173">
        <f t="shared" si="266"/>
        <v>91.342984191109409</v>
      </c>
      <c r="AS173" s="6">
        <f t="shared" si="237"/>
        <v>10.947748301147929</v>
      </c>
      <c r="AT173" s="6">
        <f t="shared" si="267"/>
        <v>7.5035128805620621</v>
      </c>
      <c r="AU173" s="6">
        <f t="shared" si="272"/>
        <v>3.4442354205858665</v>
      </c>
      <c r="AV173" s="6"/>
      <c r="AW173" s="181">
        <f t="shared" si="273"/>
        <v>0.68539325842696619</v>
      </c>
      <c r="AX173" s="181">
        <f t="shared" si="233"/>
        <v>3.1500000000000004</v>
      </c>
      <c r="AY173" s="181">
        <f t="shared" si="234"/>
        <v>0.20655737704918042</v>
      </c>
      <c r="AZ173" s="181">
        <f t="shared" si="238"/>
        <v>15.249999999999995</v>
      </c>
      <c r="BD173" s="181">
        <f t="shared" si="239"/>
        <v>0.62764195703403092</v>
      </c>
      <c r="BE173" s="181">
        <f t="shared" si="235"/>
        <v>0.42523212435181557</v>
      </c>
      <c r="BG173" s="548">
        <f t="shared" si="274"/>
        <v>0.13787704918032789</v>
      </c>
      <c r="BH173" s="548">
        <f t="shared" si="275"/>
        <v>2.6687499999999996E-2</v>
      </c>
      <c r="BI173" s="548">
        <f t="shared" si="276"/>
        <v>1.1417873023888676E-3</v>
      </c>
      <c r="BJ173" s="548">
        <f t="shared" si="277"/>
        <v>2.6001779513888878E-3</v>
      </c>
      <c r="BK173">
        <f t="shared" si="278"/>
        <v>2.0300000000000001E-3</v>
      </c>
      <c r="BL173" s="474">
        <f t="shared" si="279"/>
        <v>170.33651443410565</v>
      </c>
      <c r="BM173" s="548">
        <f t="shared" si="280"/>
        <v>6.615E-2</v>
      </c>
      <c r="BP173" s="474">
        <f t="shared" si="281"/>
        <v>66.150000000000006</v>
      </c>
      <c r="BQ173" s="548">
        <f t="shared" si="282"/>
        <v>0</v>
      </c>
      <c r="BR173" s="548">
        <f t="shared" si="283"/>
        <v>0</v>
      </c>
      <c r="BS173" s="548">
        <f t="shared" si="284"/>
        <v>7.8779767900822723E-3</v>
      </c>
      <c r="BT173" s="548">
        <f t="shared" si="285"/>
        <v>0.16537500000000002</v>
      </c>
      <c r="BU173" s="474">
        <f t="shared" si="286"/>
        <v>173.25297679008227</v>
      </c>
      <c r="BV173" s="181">
        <f t="shared" si="287"/>
        <v>0.40973949122418796</v>
      </c>
      <c r="BW173" s="6">
        <f t="shared" si="288"/>
        <v>2.835</v>
      </c>
      <c r="BX173" s="181">
        <f t="shared" si="289"/>
        <v>0.87372191439948232</v>
      </c>
      <c r="BY173" s="6">
        <f t="shared" si="290"/>
        <v>87.372191439948239</v>
      </c>
      <c r="CB173" s="583">
        <f t="shared" si="268"/>
        <v>-50</v>
      </c>
      <c r="CC173">
        <f t="shared" si="269"/>
        <v>-50</v>
      </c>
    </row>
    <row r="174" spans="5:81" x14ac:dyDescent="0.2">
      <c r="E174" s="178">
        <v>64</v>
      </c>
      <c r="F174" s="225">
        <f t="shared" si="270"/>
        <v>0.192</v>
      </c>
      <c r="G174" s="225"/>
      <c r="H174" s="225">
        <f t="shared" ref="H174:H205" si="291">F174*Vout</f>
        <v>2.88</v>
      </c>
      <c r="I174" s="561">
        <f t="shared" ref="I174:I210" si="292">VIN_min</f>
        <v>7</v>
      </c>
      <c r="J174" s="456">
        <f t="shared" ref="J174:J210" si="293">(T174+Vfwd1)*Nps</f>
        <v>15.25</v>
      </c>
      <c r="K174" s="456">
        <f t="shared" ref="K174:K210" si="294">(Vout+Vfwd1)*Nps+I174</f>
        <v>22.25</v>
      </c>
      <c r="L174" s="456"/>
      <c r="M174" s="225">
        <f t="shared" ref="M174:M210" si="295">(Vout+Vfwd1)*Nps/((Vout+Vfwd1)*Nps+I174)</f>
        <v>0.6853932584269663</v>
      </c>
      <c r="N174" s="180">
        <f t="shared" ref="N174:N205" si="296">M174*I174*Isw_max*0.5*Efficiency</f>
        <v>3.1305337078651685</v>
      </c>
      <c r="O174" s="180">
        <f t="shared" si="236"/>
        <v>2.88</v>
      </c>
      <c r="P174" s="225">
        <f t="shared" ref="P174:P205" si="297">N174/Vout</f>
        <v>0.20870224719101124</v>
      </c>
      <c r="Q174" s="225">
        <f t="shared" ref="Q174:Q210" si="298">MIN(Vout,N174/F174)</f>
        <v>15</v>
      </c>
      <c r="R174" s="225"/>
      <c r="S174" s="180">
        <f t="shared" ref="S174:S210" si="299">(SQRT(Isw_max^2*Nps^2*I174^2+4*Isw_max*F174/Efficiency*(Nps^2*Vfwd1*I174-Nps*I174^2)+4*(F174/Efficiency)^2*Nps^2*Vfwd1^2+8*(F174/Efficiency)^2*Nps*Vfwd1*I174+4*(F174/Efficiency)^2*I174^2)-2*F174/Efficiency*I174-2*F174/Efficiency*Nps*Vfwd1+Isw_max*Nps*I174)/(4*F174/Efficiency*Nps)</f>
        <v>16.891155964618854</v>
      </c>
      <c r="T174" s="180">
        <f t="shared" ref="T174:T205" si="300">MIN(Vout, S174)</f>
        <v>15</v>
      </c>
      <c r="U174" s="225">
        <f t="shared" ref="U174:U210" si="301">MIN(2*Vout*F174/(Efficiency*I174*M174), Isw_max)</f>
        <v>1.3339578454332552</v>
      </c>
      <c r="V174" s="225">
        <f t="shared" ref="V174:V205" si="302">L*U174/I174*1000000</f>
        <v>7.622616259618602</v>
      </c>
      <c r="W174" s="225">
        <f t="shared" ref="W174:W210" si="303">L*U174/J174*1000000</f>
        <v>3.4989058240872271</v>
      </c>
      <c r="X174" s="205">
        <f t="shared" ref="X174:X210" si="304">IF(1/((350000*L)*(1/I174+1/J174))&gt;Isw_min, 350, 0.001/((Isw_min*L)*(1/I174+1/J174)))</f>
        <v>350</v>
      </c>
      <c r="Y174" s="456">
        <f t="shared" si="271"/>
        <v>89.91575006312334</v>
      </c>
      <c r="AA174" s="225">
        <f t="shared" ref="AA174:AA210" si="305">1/((X174*1000*L)*(1/I174+1/J174))</f>
        <v>0.34269662921348309</v>
      </c>
      <c r="AB174" s="181">
        <f t="shared" ref="AB174:AB205" si="306">L*AA174/J174*1000000</f>
        <v>0.89887640449438189</v>
      </c>
      <c r="AC174" s="181">
        <f t="shared" ref="AC174:AC205" si="307">0.5*AB174*AA174*Nps*X174/1000</f>
        <v>5.3907334932458008E-2</v>
      </c>
      <c r="AD174" s="181"/>
      <c r="AE174" s="181">
        <f t="shared" ref="AE174:AE210" si="308">L*Isw_min/J174*1000000</f>
        <v>0.76065573770491812</v>
      </c>
      <c r="AF174" s="565">
        <f t="shared" ref="AF174:AF205" si="309">MAX(10000,F174/(0.5*AE174/1000000*Isw_min*Nps))/1000</f>
        <v>1740.7847800237812</v>
      </c>
      <c r="AG174" s="548">
        <f t="shared" ref="AG174:AG210" si="310">0.5*AE174/1000000*Isw_min*Nps*X174*1000</f>
        <v>3.8603278688524589E-2</v>
      </c>
      <c r="AI174" s="181">
        <f t="shared" ref="AI174:AI210" si="311">SQRT(F174/(0.5*L/J174*Fsw_DCM*Nps))</f>
        <v>0.64675011734495591</v>
      </c>
      <c r="AJ174" s="181">
        <f t="shared" ref="AJ174:AJ205" si="312">MAX(IF(F174&gt;AC174,U174,AI174),Isw_min)</f>
        <v>1.3339578454332552</v>
      </c>
      <c r="AK174" s="181">
        <f t="shared" ref="AK174:AK205" si="313">IF(F174&gt;AG174, (AJ174-Isw_min)/1.08*0.8+1.2, AF174*0.2/350+1)</f>
        <v>1.9733021077283373</v>
      </c>
      <c r="AM174" s="565">
        <f t="shared" ref="AM174:AM210" si="314">F174*1000</f>
        <v>192</v>
      </c>
      <c r="AN174" s="474">
        <f t="shared" ref="AN174:AN210" si="315">IF(F174&gt;AG174, Y174, AF174)</f>
        <v>89.91575006312334</v>
      </c>
      <c r="AP174">
        <f t="shared" ref="AP174:AP210" si="316">IF(H174&gt;N174, "",AM174)</f>
        <v>192</v>
      </c>
      <c r="AQ174">
        <f t="shared" ref="AQ174:AQ210" si="317">IF(H174&gt;N174, "",AN174)</f>
        <v>89.91575006312334</v>
      </c>
      <c r="AS174" s="6">
        <f t="shared" si="237"/>
        <v>11.121522083705829</v>
      </c>
      <c r="AT174" s="6">
        <f t="shared" ref="AT174:AT210" si="318">L*AJ174/I174*1000000</f>
        <v>7.622616259618602</v>
      </c>
      <c r="AU174" s="6">
        <f t="shared" si="272"/>
        <v>3.4989058240872266</v>
      </c>
      <c r="AV174" s="6"/>
      <c r="AW174" s="181">
        <f t="shared" si="273"/>
        <v>0.6853932584269663</v>
      </c>
      <c r="AX174" s="181">
        <f t="shared" si="233"/>
        <v>3.1999999999999997</v>
      </c>
      <c r="AY174" s="181">
        <f t="shared" si="234"/>
        <v>0.20983606557377049</v>
      </c>
      <c r="AZ174" s="181">
        <f t="shared" si="238"/>
        <v>15.249999999999998</v>
      </c>
      <c r="BD174" s="181">
        <f t="shared" si="239"/>
        <v>0.63760452778060273</v>
      </c>
      <c r="BE174" s="181">
        <f t="shared" si="235"/>
        <v>0.43198184061136807</v>
      </c>
      <c r="BG174" s="548">
        <f t="shared" si="274"/>
        <v>0.14228883684621388</v>
      </c>
      <c r="BH174" s="548">
        <f t="shared" si="275"/>
        <v>2.6687499999999999E-2</v>
      </c>
      <c r="BI174" s="548">
        <f t="shared" si="276"/>
        <v>1.1239468757890418E-3</v>
      </c>
      <c r="BJ174" s="548">
        <f t="shared" si="277"/>
        <v>2.5595501708984372E-3</v>
      </c>
      <c r="BK174">
        <f t="shared" si="278"/>
        <v>2.0300000000000001E-3</v>
      </c>
      <c r="BL174" s="474">
        <f t="shared" si="279"/>
        <v>174.68983389290136</v>
      </c>
      <c r="BM174" s="548">
        <f t="shared" si="280"/>
        <v>6.7199999999999996E-2</v>
      </c>
      <c r="BP174" s="474">
        <f t="shared" si="281"/>
        <v>67.2</v>
      </c>
      <c r="BQ174" s="548">
        <f t="shared" si="282"/>
        <v>0</v>
      </c>
      <c r="BR174" s="548">
        <f t="shared" si="283"/>
        <v>0</v>
      </c>
      <c r="BS174" s="548">
        <f t="shared" si="284"/>
        <v>7.8779767900822757E-3</v>
      </c>
      <c r="BT174" s="548">
        <f t="shared" si="285"/>
        <v>0.16799999999999998</v>
      </c>
      <c r="BU174" s="474">
        <f t="shared" si="286"/>
        <v>175.87797679008227</v>
      </c>
      <c r="BV174" s="181">
        <f t="shared" si="287"/>
        <v>0.41776781068298363</v>
      </c>
      <c r="BW174" s="6">
        <f t="shared" si="288"/>
        <v>2.88</v>
      </c>
      <c r="BX174" s="181">
        <f t="shared" si="289"/>
        <v>0.87331800336893284</v>
      </c>
      <c r="BY174" s="6">
        <f t="shared" si="290"/>
        <v>87.331800336893281</v>
      </c>
      <c r="CB174" s="583">
        <f t="shared" ref="CB174:CB210" si="319">IF(ABS(F174-Ioutmax_Vinmin)&lt;Iout/200, AN174, -50)</f>
        <v>-50</v>
      </c>
      <c r="CC174">
        <f t="shared" ref="CC174:CC210" si="320">IF(ABS(F174-Ioutmax_Vinmin)&lt;Iout/200, N174*BX174, -50)</f>
        <v>-50</v>
      </c>
    </row>
    <row r="175" spans="5:81" x14ac:dyDescent="0.2">
      <c r="E175" s="178">
        <v>65</v>
      </c>
      <c r="F175" s="225">
        <f t="shared" ref="F175:F206" si="321">IF(PLOT_TYPE=1, E175/100*Iout_max, min_I*EXP(N175*rr/100))</f>
        <v>0.19500000000000001</v>
      </c>
      <c r="G175" s="225"/>
      <c r="H175" s="225">
        <f t="shared" si="291"/>
        <v>2.9250000000000003</v>
      </c>
      <c r="I175" s="561">
        <f t="shared" si="292"/>
        <v>7</v>
      </c>
      <c r="J175" s="456">
        <f t="shared" si="293"/>
        <v>15.25</v>
      </c>
      <c r="K175" s="456">
        <f t="shared" si="294"/>
        <v>22.25</v>
      </c>
      <c r="L175" s="456"/>
      <c r="M175" s="225">
        <f t="shared" si="295"/>
        <v>0.6853932584269663</v>
      </c>
      <c r="N175" s="180">
        <f t="shared" si="296"/>
        <v>3.1305337078651685</v>
      </c>
      <c r="O175" s="180">
        <f t="shared" si="236"/>
        <v>2.9250000000000003</v>
      </c>
      <c r="P175" s="225">
        <f t="shared" si="297"/>
        <v>0.20870224719101124</v>
      </c>
      <c r="Q175" s="225">
        <f t="shared" si="298"/>
        <v>15</v>
      </c>
      <c r="R175" s="225"/>
      <c r="S175" s="180">
        <f t="shared" si="299"/>
        <v>16.527384006903574</v>
      </c>
      <c r="T175" s="180">
        <f t="shared" si="300"/>
        <v>15</v>
      </c>
      <c r="U175" s="225">
        <f t="shared" si="301"/>
        <v>1.3548009367681502</v>
      </c>
      <c r="V175" s="225">
        <f t="shared" si="302"/>
        <v>7.7417196386751437</v>
      </c>
      <c r="W175" s="225">
        <f t="shared" si="303"/>
        <v>3.5535762275885907</v>
      </c>
      <c r="X175" s="205">
        <f t="shared" si="304"/>
        <v>350</v>
      </c>
      <c r="Y175" s="456">
        <f t="shared" si="271"/>
        <v>88.532430831382968</v>
      </c>
      <c r="AA175" s="225">
        <f t="shared" si="305"/>
        <v>0.34269662921348309</v>
      </c>
      <c r="AB175" s="181">
        <f t="shared" si="306"/>
        <v>0.89887640449438189</v>
      </c>
      <c r="AC175" s="181">
        <f t="shared" si="307"/>
        <v>5.3907334932458008E-2</v>
      </c>
      <c r="AD175" s="181"/>
      <c r="AE175" s="181">
        <f t="shared" si="308"/>
        <v>0.76065573770491812</v>
      </c>
      <c r="AF175" s="565">
        <f t="shared" si="309"/>
        <v>1767.9845422116528</v>
      </c>
      <c r="AG175" s="548">
        <f t="shared" si="310"/>
        <v>3.8603278688524589E-2</v>
      </c>
      <c r="AI175" s="181">
        <f t="shared" si="311"/>
        <v>0.65178326809717091</v>
      </c>
      <c r="AJ175" s="181">
        <f t="shared" si="312"/>
        <v>1.3548009367681502</v>
      </c>
      <c r="AK175" s="181">
        <f t="shared" si="313"/>
        <v>1.9887414346430741</v>
      </c>
      <c r="AM175" s="565">
        <f t="shared" si="314"/>
        <v>195</v>
      </c>
      <c r="AN175" s="474">
        <f t="shared" si="315"/>
        <v>88.532430831382968</v>
      </c>
      <c r="AP175">
        <f t="shared" si="316"/>
        <v>195</v>
      </c>
      <c r="AQ175">
        <f t="shared" si="317"/>
        <v>88.532430831382968</v>
      </c>
      <c r="AS175" s="6">
        <f t="shared" si="237"/>
        <v>11.295295866263734</v>
      </c>
      <c r="AT175" s="6">
        <f t="shared" si="318"/>
        <v>7.7417196386751437</v>
      </c>
      <c r="AU175" s="6">
        <f t="shared" si="272"/>
        <v>3.5535762275885903</v>
      </c>
      <c r="AV175" s="6"/>
      <c r="AW175" s="181">
        <f t="shared" si="273"/>
        <v>0.6853932584269663</v>
      </c>
      <c r="AX175" s="181">
        <f t="shared" si="233"/>
        <v>3.2500000000000009</v>
      </c>
      <c r="AY175" s="181">
        <f t="shared" si="234"/>
        <v>0.2131147540983607</v>
      </c>
      <c r="AZ175" s="181">
        <f t="shared" si="238"/>
        <v>15.250000000000002</v>
      </c>
      <c r="BD175" s="181">
        <f t="shared" si="239"/>
        <v>0.64756709852717476</v>
      </c>
      <c r="BE175" s="181">
        <f t="shared" si="235"/>
        <v>0.4387315568709208</v>
      </c>
      <c r="BG175" s="548">
        <f t="shared" si="274"/>
        <v>0.14677010148321629</v>
      </c>
      <c r="BH175" s="548">
        <f t="shared" si="275"/>
        <v>2.6687499999999999E-2</v>
      </c>
      <c r="BI175" s="548">
        <f t="shared" si="276"/>
        <v>1.1066553853922869E-3</v>
      </c>
      <c r="BJ175" s="548">
        <f t="shared" si="277"/>
        <v>2.5201724759615378E-3</v>
      </c>
      <c r="BK175">
        <f t="shared" si="278"/>
        <v>2.0300000000000001E-3</v>
      </c>
      <c r="BL175" s="474">
        <f t="shared" si="279"/>
        <v>179.11442934457011</v>
      </c>
      <c r="BM175" s="548">
        <f t="shared" si="280"/>
        <v>6.8249999999999991E-2</v>
      </c>
      <c r="BP175" s="474">
        <f t="shared" si="281"/>
        <v>68.249999999999986</v>
      </c>
      <c r="BQ175" s="548">
        <f t="shared" si="282"/>
        <v>0</v>
      </c>
      <c r="BR175" s="548">
        <f t="shared" si="283"/>
        <v>0</v>
      </c>
      <c r="BS175" s="548">
        <f t="shared" si="284"/>
        <v>7.8779767900822861E-3</v>
      </c>
      <c r="BT175" s="548">
        <f t="shared" si="285"/>
        <v>0.17062500000000005</v>
      </c>
      <c r="BU175" s="474">
        <f t="shared" si="286"/>
        <v>178.50297679008233</v>
      </c>
      <c r="BV175" s="181">
        <f t="shared" si="287"/>
        <v>0.42586740613465246</v>
      </c>
      <c r="BW175" s="6">
        <f t="shared" si="288"/>
        <v>2.9250000000000003</v>
      </c>
      <c r="BX175" s="181">
        <f t="shared" si="289"/>
        <v>0.87290830865017544</v>
      </c>
      <c r="BY175" s="6">
        <f t="shared" si="290"/>
        <v>87.29083086501754</v>
      </c>
      <c r="CB175" s="583">
        <f t="shared" si="319"/>
        <v>-50</v>
      </c>
      <c r="CC175">
        <f t="shared" si="320"/>
        <v>-50</v>
      </c>
    </row>
    <row r="176" spans="5:81" x14ac:dyDescent="0.2">
      <c r="E176" s="178">
        <v>66</v>
      </c>
      <c r="F176" s="225">
        <f t="shared" si="321"/>
        <v>0.19800000000000001</v>
      </c>
      <c r="G176" s="225"/>
      <c r="H176" s="225">
        <f t="shared" si="291"/>
        <v>2.97</v>
      </c>
      <c r="I176" s="561">
        <f t="shared" si="292"/>
        <v>7</v>
      </c>
      <c r="J176" s="456">
        <f t="shared" si="293"/>
        <v>15.25</v>
      </c>
      <c r="K176" s="456">
        <f t="shared" si="294"/>
        <v>22.25</v>
      </c>
      <c r="L176" s="456"/>
      <c r="M176" s="225">
        <f t="shared" si="295"/>
        <v>0.6853932584269663</v>
      </c>
      <c r="N176" s="180">
        <f t="shared" si="296"/>
        <v>3.1305337078651685</v>
      </c>
      <c r="O176" s="180">
        <f t="shared" si="236"/>
        <v>2.97</v>
      </c>
      <c r="P176" s="225">
        <f t="shared" si="297"/>
        <v>0.20870224719101124</v>
      </c>
      <c r="Q176" s="225">
        <f t="shared" si="298"/>
        <v>15</v>
      </c>
      <c r="R176" s="225"/>
      <c r="S176" s="180">
        <f t="shared" si="299"/>
        <v>16.174728480555672</v>
      </c>
      <c r="T176" s="556">
        <f t="shared" si="300"/>
        <v>15</v>
      </c>
      <c r="U176" s="225">
        <f t="shared" si="301"/>
        <v>1.3756440281030446</v>
      </c>
      <c r="V176" s="225">
        <f t="shared" si="302"/>
        <v>7.8608230177316853</v>
      </c>
      <c r="W176" s="225">
        <f t="shared" si="303"/>
        <v>3.6082466310899535</v>
      </c>
      <c r="X176" s="205">
        <f t="shared" si="304"/>
        <v>350</v>
      </c>
      <c r="Y176" s="456">
        <f t="shared" si="271"/>
        <v>87.191030364240788</v>
      </c>
      <c r="AA176" s="225">
        <f t="shared" si="305"/>
        <v>0.34269662921348309</v>
      </c>
      <c r="AB176" s="181">
        <f t="shared" si="306"/>
        <v>0.89887640449438189</v>
      </c>
      <c r="AC176" s="181">
        <f t="shared" si="307"/>
        <v>5.3907334932458008E-2</v>
      </c>
      <c r="AD176" s="181"/>
      <c r="AE176" s="181">
        <f t="shared" si="308"/>
        <v>0.76065573770491812</v>
      </c>
      <c r="AF176" s="565">
        <f t="shared" si="309"/>
        <v>1795.1843043995243</v>
      </c>
      <c r="AG176" s="548">
        <f t="shared" si="310"/>
        <v>3.8603278688524589E-2</v>
      </c>
      <c r="AI176" s="181">
        <f t="shared" si="311"/>
        <v>0.65677784893915447</v>
      </c>
      <c r="AJ176" s="181">
        <f t="shared" si="312"/>
        <v>1.3756440281030446</v>
      </c>
      <c r="AK176" s="181">
        <f t="shared" si="313"/>
        <v>2.0041807615578109</v>
      </c>
      <c r="AM176" s="565">
        <f t="shared" si="314"/>
        <v>198</v>
      </c>
      <c r="AN176" s="474">
        <f t="shared" si="315"/>
        <v>87.191030364240788</v>
      </c>
      <c r="AP176">
        <f t="shared" si="316"/>
        <v>198</v>
      </c>
      <c r="AQ176">
        <f t="shared" si="317"/>
        <v>87.191030364240788</v>
      </c>
      <c r="AS176" s="6">
        <f t="shared" si="237"/>
        <v>11.469069648821639</v>
      </c>
      <c r="AT176" s="6">
        <f t="shared" si="318"/>
        <v>7.8608230177316853</v>
      </c>
      <c r="AU176" s="6">
        <f t="shared" si="272"/>
        <v>3.6082466310899539</v>
      </c>
      <c r="AV176" s="6"/>
      <c r="AW176" s="181">
        <f t="shared" si="273"/>
        <v>0.6853932584269663</v>
      </c>
      <c r="AX176" s="181">
        <f t="shared" si="233"/>
        <v>3.3</v>
      </c>
      <c r="AY176" s="181">
        <f t="shared" si="234"/>
        <v>0.21639344262295085</v>
      </c>
      <c r="AZ176" s="181">
        <f t="shared" si="238"/>
        <v>15.249999999999996</v>
      </c>
      <c r="BD176" s="181">
        <f t="shared" si="239"/>
        <v>0.65752966927374668</v>
      </c>
      <c r="BE176" s="181">
        <f t="shared" si="235"/>
        <v>0.44548127313047342</v>
      </c>
      <c r="BG176" s="548">
        <f t="shared" si="274"/>
        <v>0.15132084309133492</v>
      </c>
      <c r="BH176" s="548">
        <f t="shared" si="275"/>
        <v>2.6687499999999992E-2</v>
      </c>
      <c r="BI176" s="548">
        <f t="shared" si="276"/>
        <v>1.0898878795530097E-3</v>
      </c>
      <c r="BJ176" s="548">
        <f t="shared" si="277"/>
        <v>2.4819880445075748E-3</v>
      </c>
      <c r="BK176">
        <f t="shared" si="278"/>
        <v>2.0300000000000001E-3</v>
      </c>
      <c r="BL176" s="474">
        <f t="shared" si="279"/>
        <v>183.6102190153955</v>
      </c>
      <c r="BM176" s="548">
        <f t="shared" si="280"/>
        <v>6.93E-2</v>
      </c>
      <c r="BP176" s="474">
        <f t="shared" si="281"/>
        <v>69.3</v>
      </c>
      <c r="BQ176" s="548">
        <f t="shared" si="282"/>
        <v>0</v>
      </c>
      <c r="BR176" s="548">
        <f t="shared" si="283"/>
        <v>0</v>
      </c>
      <c r="BS176" s="548">
        <f t="shared" si="284"/>
        <v>7.8779767900822879E-3</v>
      </c>
      <c r="BT176" s="548">
        <f t="shared" si="285"/>
        <v>0.17324999999999999</v>
      </c>
      <c r="BU176" s="474">
        <f t="shared" si="286"/>
        <v>181.12797679008227</v>
      </c>
      <c r="BV176" s="181">
        <f t="shared" si="287"/>
        <v>0.43403819580547776</v>
      </c>
      <c r="BW176" s="6">
        <f t="shared" si="288"/>
        <v>2.97</v>
      </c>
      <c r="BX176" s="181">
        <f t="shared" si="289"/>
        <v>0.87249314759737184</v>
      </c>
      <c r="BY176" s="6">
        <f t="shared" si="290"/>
        <v>87.249314759737189</v>
      </c>
      <c r="CB176" s="583">
        <f t="shared" si="319"/>
        <v>-50</v>
      </c>
      <c r="CC176">
        <f t="shared" si="320"/>
        <v>-50</v>
      </c>
    </row>
    <row r="177" spans="5:81" x14ac:dyDescent="0.2">
      <c r="E177" s="178">
        <v>67</v>
      </c>
      <c r="F177" s="225">
        <f t="shared" si="321"/>
        <v>0.20100000000000001</v>
      </c>
      <c r="G177" s="225"/>
      <c r="H177" s="225">
        <f t="shared" si="291"/>
        <v>3.0150000000000001</v>
      </c>
      <c r="I177" s="561">
        <f t="shared" si="292"/>
        <v>7</v>
      </c>
      <c r="J177" s="456">
        <f t="shared" si="293"/>
        <v>15.25</v>
      </c>
      <c r="K177" s="456">
        <f t="shared" si="294"/>
        <v>22.25</v>
      </c>
      <c r="L177" s="456"/>
      <c r="M177" s="225">
        <f t="shared" si="295"/>
        <v>0.6853932584269663</v>
      </c>
      <c r="N177" s="180">
        <f t="shared" si="296"/>
        <v>3.1305337078651685</v>
      </c>
      <c r="O177" s="180">
        <f t="shared" si="236"/>
        <v>3.0150000000000001</v>
      </c>
      <c r="P177" s="225">
        <f t="shared" si="297"/>
        <v>0.20870224719101124</v>
      </c>
      <c r="Q177" s="225">
        <f t="shared" si="298"/>
        <v>15</v>
      </c>
      <c r="R177" s="225"/>
      <c r="S177" s="180">
        <f t="shared" si="299"/>
        <v>15.832693217904307</v>
      </c>
      <c r="T177" s="556">
        <f t="shared" si="300"/>
        <v>15</v>
      </c>
      <c r="U177" s="225">
        <f t="shared" si="301"/>
        <v>1.3964871194379394</v>
      </c>
      <c r="V177" s="225">
        <f t="shared" si="302"/>
        <v>7.9799263967882244</v>
      </c>
      <c r="W177" s="225">
        <f t="shared" si="303"/>
        <v>3.6629170345913167</v>
      </c>
      <c r="X177" s="205">
        <f t="shared" si="304"/>
        <v>350</v>
      </c>
      <c r="Y177" s="456">
        <f t="shared" si="271"/>
        <v>85.889671702087952</v>
      </c>
      <c r="AA177" s="225">
        <f t="shared" si="305"/>
        <v>0.34269662921348309</v>
      </c>
      <c r="AB177" s="181">
        <f t="shared" si="306"/>
        <v>0.89887640449438189</v>
      </c>
      <c r="AC177" s="181">
        <f t="shared" si="307"/>
        <v>5.3907334932458008E-2</v>
      </c>
      <c r="AD177" s="181"/>
      <c r="AE177" s="181">
        <f t="shared" si="308"/>
        <v>0.76065573770491812</v>
      </c>
      <c r="AF177" s="565">
        <f t="shared" si="309"/>
        <v>1822.3840665873959</v>
      </c>
      <c r="AG177" s="548">
        <f t="shared" si="310"/>
        <v>3.8603278688524589E-2</v>
      </c>
      <c r="AI177" s="181">
        <f t="shared" si="311"/>
        <v>0.66173473321479592</v>
      </c>
      <c r="AJ177" s="181">
        <f t="shared" si="312"/>
        <v>1.3964871194379394</v>
      </c>
      <c r="AK177" s="181">
        <f t="shared" si="313"/>
        <v>2.0196200884725477</v>
      </c>
      <c r="AM177" s="565">
        <f t="shared" si="314"/>
        <v>201</v>
      </c>
      <c r="AN177" s="474">
        <f t="shared" si="315"/>
        <v>85.889671702087952</v>
      </c>
      <c r="AP177">
        <f t="shared" si="316"/>
        <v>201</v>
      </c>
      <c r="AQ177">
        <f t="shared" si="317"/>
        <v>85.889671702087952</v>
      </c>
      <c r="AS177" s="6">
        <f t="shared" si="237"/>
        <v>11.642843431379541</v>
      </c>
      <c r="AT177" s="6">
        <f t="shared" si="318"/>
        <v>7.9799263967882244</v>
      </c>
      <c r="AU177" s="6">
        <f t="shared" si="272"/>
        <v>3.6629170345913167</v>
      </c>
      <c r="AV177" s="6"/>
      <c r="AW177" s="181">
        <f t="shared" si="273"/>
        <v>0.6853932584269663</v>
      </c>
      <c r="AX177" s="181">
        <f t="shared" si="233"/>
        <v>3.350000000000001</v>
      </c>
      <c r="AY177" s="181">
        <f t="shared" si="234"/>
        <v>0.21967213114754103</v>
      </c>
      <c r="AZ177" s="181">
        <f t="shared" si="238"/>
        <v>15.250000000000002</v>
      </c>
      <c r="BD177" s="181">
        <f t="shared" si="239"/>
        <v>0.66749224002031859</v>
      </c>
      <c r="BE177" s="181">
        <f t="shared" si="235"/>
        <v>0.45223098939002609</v>
      </c>
      <c r="BG177" s="548">
        <f t="shared" si="274"/>
        <v>0.1559410616705699</v>
      </c>
      <c r="BH177" s="548">
        <f t="shared" si="275"/>
        <v>2.6687499999999999E-2</v>
      </c>
      <c r="BI177" s="548">
        <f t="shared" si="276"/>
        <v>1.0736208962760993E-3</v>
      </c>
      <c r="BJ177" s="548">
        <f t="shared" si="277"/>
        <v>2.4449434468283575E-3</v>
      </c>
      <c r="BK177">
        <f t="shared" si="278"/>
        <v>2.0300000000000001E-3</v>
      </c>
      <c r="BL177" s="474">
        <f t="shared" si="279"/>
        <v>188.17712601367435</v>
      </c>
      <c r="BM177" s="548">
        <f t="shared" si="280"/>
        <v>7.0349999999999996E-2</v>
      </c>
      <c r="BP177" s="474">
        <f t="shared" si="281"/>
        <v>70.349999999999994</v>
      </c>
      <c r="BQ177" s="548">
        <f t="shared" si="282"/>
        <v>0</v>
      </c>
      <c r="BR177" s="548">
        <f t="shared" si="283"/>
        <v>0</v>
      </c>
      <c r="BS177" s="548">
        <f t="shared" si="284"/>
        <v>7.8779767900822861E-3</v>
      </c>
      <c r="BT177" s="548">
        <f t="shared" si="285"/>
        <v>0.17587500000000003</v>
      </c>
      <c r="BU177" s="474">
        <f t="shared" si="286"/>
        <v>183.75297679008233</v>
      </c>
      <c r="BV177" s="181">
        <f t="shared" si="287"/>
        <v>0.44228010280375663</v>
      </c>
      <c r="BW177" s="6">
        <f t="shared" si="288"/>
        <v>3.0150000000000001</v>
      </c>
      <c r="BX177" s="181">
        <f t="shared" si="289"/>
        <v>0.87207281745986398</v>
      </c>
      <c r="BY177" s="6">
        <f t="shared" si="290"/>
        <v>87.207281745986393</v>
      </c>
      <c r="CB177" s="583">
        <f t="shared" si="319"/>
        <v>-50</v>
      </c>
      <c r="CC177">
        <f t="shared" si="320"/>
        <v>-50</v>
      </c>
    </row>
    <row r="178" spans="5:81" x14ac:dyDescent="0.2">
      <c r="E178" s="178">
        <v>68</v>
      </c>
      <c r="F178" s="225">
        <f t="shared" si="321"/>
        <v>0.20400000000000001</v>
      </c>
      <c r="G178" s="225"/>
      <c r="H178" s="225">
        <f t="shared" si="291"/>
        <v>3.06</v>
      </c>
      <c r="I178" s="561">
        <f t="shared" si="292"/>
        <v>7</v>
      </c>
      <c r="J178" s="456">
        <f t="shared" si="293"/>
        <v>15.25</v>
      </c>
      <c r="K178" s="456">
        <f t="shared" si="294"/>
        <v>22.25</v>
      </c>
      <c r="L178" s="456"/>
      <c r="M178" s="225">
        <f t="shared" si="295"/>
        <v>0.6853932584269663</v>
      </c>
      <c r="N178" s="180">
        <f t="shared" si="296"/>
        <v>3.1305337078651685</v>
      </c>
      <c r="O178" s="180">
        <f t="shared" si="236"/>
        <v>3.06</v>
      </c>
      <c r="P178" s="225">
        <f t="shared" si="297"/>
        <v>0.20870224719101124</v>
      </c>
      <c r="Q178" s="225">
        <f t="shared" si="298"/>
        <v>15</v>
      </c>
      <c r="R178" s="225"/>
      <c r="S178" s="180">
        <f t="shared" si="299"/>
        <v>15.500811270510088</v>
      </c>
      <c r="T178" s="556">
        <f t="shared" si="300"/>
        <v>15</v>
      </c>
      <c r="U178" s="225">
        <f t="shared" si="301"/>
        <v>1.4173302107728338</v>
      </c>
      <c r="V178" s="225">
        <f t="shared" si="302"/>
        <v>8.099029775844766</v>
      </c>
      <c r="W178" s="225">
        <f t="shared" si="303"/>
        <v>3.717587438092679</v>
      </c>
      <c r="X178" s="205">
        <f t="shared" si="304"/>
        <v>350</v>
      </c>
      <c r="Y178" s="456">
        <f t="shared" si="271"/>
        <v>84.626588294704305</v>
      </c>
      <c r="AA178" s="225">
        <f t="shared" si="305"/>
        <v>0.34269662921348309</v>
      </c>
      <c r="AB178" s="181">
        <f t="shared" si="306"/>
        <v>0.89887640449438189</v>
      </c>
      <c r="AC178" s="181">
        <f t="shared" si="307"/>
        <v>5.3907334932458008E-2</v>
      </c>
      <c r="AD178" s="181"/>
      <c r="AE178" s="181">
        <f t="shared" si="308"/>
        <v>0.76065573770491812</v>
      </c>
      <c r="AF178" s="565">
        <f t="shared" si="309"/>
        <v>1849.5838287752676</v>
      </c>
      <c r="AG178" s="548">
        <f t="shared" si="310"/>
        <v>3.8603278688524589E-2</v>
      </c>
      <c r="AI178" s="181">
        <f t="shared" si="311"/>
        <v>0.6666547617984675</v>
      </c>
      <c r="AJ178" s="181">
        <f t="shared" si="312"/>
        <v>1.4173302107728338</v>
      </c>
      <c r="AK178" s="181">
        <f t="shared" si="313"/>
        <v>2.0350594153872841</v>
      </c>
      <c r="AM178" s="565">
        <f t="shared" si="314"/>
        <v>204.00000000000003</v>
      </c>
      <c r="AN178" s="474">
        <f t="shared" si="315"/>
        <v>84.626588294704305</v>
      </c>
      <c r="AP178">
        <f t="shared" si="316"/>
        <v>204.00000000000003</v>
      </c>
      <c r="AQ178">
        <f t="shared" si="317"/>
        <v>84.626588294704305</v>
      </c>
      <c r="AS178" s="6">
        <f t="shared" si="237"/>
        <v>11.816617213937446</v>
      </c>
      <c r="AT178" s="6">
        <f t="shared" si="318"/>
        <v>8.099029775844766</v>
      </c>
      <c r="AU178" s="6">
        <f t="shared" si="272"/>
        <v>3.7175874380926803</v>
      </c>
      <c r="AV178" s="6"/>
      <c r="AW178" s="181">
        <f t="shared" si="273"/>
        <v>0.68539325842696619</v>
      </c>
      <c r="AX178" s="181">
        <f t="shared" si="233"/>
        <v>3.4</v>
      </c>
      <c r="AY178" s="181">
        <f t="shared" si="234"/>
        <v>0.22295081967213123</v>
      </c>
      <c r="AZ178" s="181">
        <f t="shared" si="238"/>
        <v>15.249999999999993</v>
      </c>
      <c r="BD178" s="181">
        <f t="shared" si="239"/>
        <v>0.6774548107668904</v>
      </c>
      <c r="BE178" s="181">
        <f t="shared" si="235"/>
        <v>0.45898070564957871</v>
      </c>
      <c r="BG178" s="548">
        <f t="shared" si="274"/>
        <v>0.16063075722092116</v>
      </c>
      <c r="BH178" s="548">
        <f t="shared" si="275"/>
        <v>2.6687499999999999E-2</v>
      </c>
      <c r="BI178" s="548">
        <f t="shared" si="276"/>
        <v>1.0578323536838037E-3</v>
      </c>
      <c r="BJ178" s="548">
        <f t="shared" si="277"/>
        <v>2.4089883961397052E-3</v>
      </c>
      <c r="BK178">
        <f t="shared" si="278"/>
        <v>2.0300000000000001E-3</v>
      </c>
      <c r="BL178" s="474">
        <f t="shared" si="279"/>
        <v>192.81507797074468</v>
      </c>
      <c r="BM178" s="548">
        <f t="shared" si="280"/>
        <v>7.1400000000000005E-2</v>
      </c>
      <c r="BP178" s="474">
        <f t="shared" si="281"/>
        <v>71.400000000000006</v>
      </c>
      <c r="BQ178" s="548">
        <f t="shared" si="282"/>
        <v>0</v>
      </c>
      <c r="BR178" s="548">
        <f t="shared" si="283"/>
        <v>0</v>
      </c>
      <c r="BS178" s="548">
        <f t="shared" si="284"/>
        <v>7.8779767900822861E-3</v>
      </c>
      <c r="BT178" s="548">
        <f t="shared" si="285"/>
        <v>0.17849999999999999</v>
      </c>
      <c r="BU178" s="474">
        <f t="shared" si="286"/>
        <v>186.37797679008227</v>
      </c>
      <c r="BV178" s="181">
        <f t="shared" si="287"/>
        <v>0.45059305476082695</v>
      </c>
      <c r="BW178" s="6">
        <f t="shared" si="288"/>
        <v>3.06</v>
      </c>
      <c r="BX178" s="181">
        <f t="shared" si="289"/>
        <v>0.87164759693529181</v>
      </c>
      <c r="BY178" s="6">
        <f t="shared" si="290"/>
        <v>87.164759693529177</v>
      </c>
      <c r="CB178" s="583">
        <f t="shared" si="319"/>
        <v>-50</v>
      </c>
      <c r="CC178">
        <f t="shared" si="320"/>
        <v>-50</v>
      </c>
    </row>
    <row r="179" spans="5:81" x14ac:dyDescent="0.2">
      <c r="E179" s="178">
        <v>69</v>
      </c>
      <c r="F179" s="225">
        <f t="shared" si="321"/>
        <v>0.20699999999999999</v>
      </c>
      <c r="G179" s="225"/>
      <c r="H179" s="225">
        <f t="shared" si="291"/>
        <v>3.105</v>
      </c>
      <c r="I179" s="561">
        <f t="shared" si="292"/>
        <v>7</v>
      </c>
      <c r="J179" s="456">
        <f t="shared" si="293"/>
        <v>15.25</v>
      </c>
      <c r="K179" s="456">
        <f t="shared" si="294"/>
        <v>22.25</v>
      </c>
      <c r="L179" s="456"/>
      <c r="M179" s="225">
        <f t="shared" si="295"/>
        <v>0.6853932584269663</v>
      </c>
      <c r="N179" s="180">
        <f t="shared" si="296"/>
        <v>3.1305337078651685</v>
      </c>
      <c r="O179" s="180">
        <f t="shared" si="236"/>
        <v>3.105</v>
      </c>
      <c r="P179" s="225">
        <f t="shared" si="297"/>
        <v>0.20870224719101124</v>
      </c>
      <c r="Q179" s="225">
        <f t="shared" si="298"/>
        <v>15</v>
      </c>
      <c r="R179" s="225"/>
      <c r="S179" s="180">
        <f t="shared" si="299"/>
        <v>15.178642792587267</v>
      </c>
      <c r="T179" s="556">
        <f t="shared" si="300"/>
        <v>15</v>
      </c>
      <c r="U179" s="225">
        <f t="shared" si="301"/>
        <v>1.4381733021077285</v>
      </c>
      <c r="V179" s="225">
        <f t="shared" si="302"/>
        <v>8.2181331549013059</v>
      </c>
      <c r="W179" s="225">
        <f t="shared" si="303"/>
        <v>3.7722578415940426</v>
      </c>
      <c r="X179" s="205">
        <f t="shared" si="304"/>
        <v>350</v>
      </c>
      <c r="Y179" s="456">
        <f t="shared" si="271"/>
        <v>83.400116000578166</v>
      </c>
      <c r="AA179" s="225">
        <f t="shared" si="305"/>
        <v>0.34269662921348309</v>
      </c>
      <c r="AB179" s="181">
        <f t="shared" si="306"/>
        <v>0.89887640449438189</v>
      </c>
      <c r="AC179" s="181">
        <f t="shared" si="307"/>
        <v>5.3907334932458008E-2</v>
      </c>
      <c r="AD179" s="181"/>
      <c r="AE179" s="181">
        <f t="shared" si="308"/>
        <v>0.76065573770491812</v>
      </c>
      <c r="AF179" s="565">
        <f t="shared" si="309"/>
        <v>1876.783590963139</v>
      </c>
      <c r="AG179" s="548">
        <f t="shared" si="310"/>
        <v>3.8603278688524589E-2</v>
      </c>
      <c r="AI179" s="181">
        <f t="shared" si="311"/>
        <v>0.67153874476033448</v>
      </c>
      <c r="AJ179" s="181">
        <f t="shared" si="312"/>
        <v>1.4381733021077285</v>
      </c>
      <c r="AK179" s="181">
        <f t="shared" si="313"/>
        <v>2.0504987423020209</v>
      </c>
      <c r="AM179" s="565">
        <f t="shared" si="314"/>
        <v>207</v>
      </c>
      <c r="AN179" s="474">
        <f t="shared" si="315"/>
        <v>83.400116000578166</v>
      </c>
      <c r="AP179">
        <f t="shared" si="316"/>
        <v>207</v>
      </c>
      <c r="AQ179">
        <f t="shared" si="317"/>
        <v>83.400116000578166</v>
      </c>
      <c r="AS179" s="6">
        <f t="shared" si="237"/>
        <v>11.990390996495348</v>
      </c>
      <c r="AT179" s="6">
        <f t="shared" si="318"/>
        <v>8.2181331549013059</v>
      </c>
      <c r="AU179" s="6">
        <f t="shared" si="272"/>
        <v>3.7722578415940422</v>
      </c>
      <c r="AV179" s="6"/>
      <c r="AW179" s="181">
        <f t="shared" si="273"/>
        <v>0.6853932584269663</v>
      </c>
      <c r="AX179" s="181">
        <f t="shared" si="233"/>
        <v>3.45</v>
      </c>
      <c r="AY179" s="181">
        <f t="shared" si="234"/>
        <v>0.22622950819672133</v>
      </c>
      <c r="AZ179" s="181">
        <f t="shared" si="238"/>
        <v>15.25</v>
      </c>
      <c r="BD179" s="181">
        <f t="shared" si="239"/>
        <v>0.68741738151346243</v>
      </c>
      <c r="BE179" s="181">
        <f t="shared" si="235"/>
        <v>0.46573042190913133</v>
      </c>
      <c r="BG179" s="548">
        <f t="shared" si="274"/>
        <v>0.16538992974238881</v>
      </c>
      <c r="BH179" s="548">
        <f t="shared" si="275"/>
        <v>2.6687499999999999E-2</v>
      </c>
      <c r="BI179" s="548">
        <f t="shared" si="276"/>
        <v>1.0425014500072269E-3</v>
      </c>
      <c r="BJ179" s="548">
        <f t="shared" si="277"/>
        <v>2.3740755208333329E-3</v>
      </c>
      <c r="BK179">
        <f t="shared" si="278"/>
        <v>2.0300000000000001E-3</v>
      </c>
      <c r="BL179" s="474">
        <f t="shared" si="279"/>
        <v>197.52400671322937</v>
      </c>
      <c r="BM179" s="548">
        <f t="shared" si="280"/>
        <v>7.2449999999999987E-2</v>
      </c>
      <c r="BP179" s="474">
        <f t="shared" si="281"/>
        <v>72.449999999999989</v>
      </c>
      <c r="BQ179" s="548">
        <f t="shared" si="282"/>
        <v>0</v>
      </c>
      <c r="BR179" s="548">
        <f t="shared" si="283"/>
        <v>0</v>
      </c>
      <c r="BS179" s="548">
        <f t="shared" si="284"/>
        <v>7.8779767900822931E-3</v>
      </c>
      <c r="BT179" s="548">
        <f t="shared" si="285"/>
        <v>0.18112500000000004</v>
      </c>
      <c r="BU179" s="474">
        <f t="shared" si="286"/>
        <v>189.00297679008233</v>
      </c>
      <c r="BV179" s="181">
        <f t="shared" si="287"/>
        <v>0.45897698350331168</v>
      </c>
      <c r="BW179" s="6">
        <f t="shared" si="288"/>
        <v>3.105</v>
      </c>
      <c r="BX179" s="181">
        <f t="shared" si="289"/>
        <v>0.87121774758148207</v>
      </c>
      <c r="BY179" s="6">
        <f t="shared" si="290"/>
        <v>87.121774758148206</v>
      </c>
      <c r="CB179" s="583">
        <f t="shared" si="319"/>
        <v>-50</v>
      </c>
      <c r="CC179">
        <f t="shared" si="320"/>
        <v>-50</v>
      </c>
    </row>
    <row r="180" spans="5:81" x14ac:dyDescent="0.2">
      <c r="E180" s="178">
        <v>70</v>
      </c>
      <c r="F180" s="225">
        <f t="shared" si="321"/>
        <v>0.21</v>
      </c>
      <c r="G180" s="225"/>
      <c r="H180" s="225">
        <f t="shared" si="291"/>
        <v>3.15</v>
      </c>
      <c r="I180" s="561">
        <f t="shared" si="292"/>
        <v>7</v>
      </c>
      <c r="J180" s="456">
        <f t="shared" si="293"/>
        <v>15.11577310586391</v>
      </c>
      <c r="K180" s="456">
        <f t="shared" si="294"/>
        <v>22.25</v>
      </c>
      <c r="L180" s="456"/>
      <c r="M180" s="225">
        <f t="shared" si="295"/>
        <v>0.6853932584269663</v>
      </c>
      <c r="N180" s="180">
        <f t="shared" si="296"/>
        <v>3.1305337078651685</v>
      </c>
      <c r="O180" s="180">
        <f t="shared" si="236"/>
        <v>3.1218123522314212</v>
      </c>
      <c r="P180" s="225">
        <f t="shared" si="297"/>
        <v>0.20870224719101124</v>
      </c>
      <c r="Q180" s="225">
        <f t="shared" si="298"/>
        <v>14.907303370786517</v>
      </c>
      <c r="R180" s="225"/>
      <c r="S180" s="180">
        <f t="shared" si="299"/>
        <v>14.86577310586391</v>
      </c>
      <c r="T180" s="556">
        <f t="shared" si="300"/>
        <v>14.86577310586391</v>
      </c>
      <c r="U180" s="225">
        <f t="shared" si="301"/>
        <v>1.45</v>
      </c>
      <c r="V180" s="225">
        <f t="shared" si="302"/>
        <v>8.2857142857142847</v>
      </c>
      <c r="W180" s="225">
        <f t="shared" si="303"/>
        <v>3.837051508632388</v>
      </c>
      <c r="X180" s="205">
        <f t="shared" si="304"/>
        <v>350</v>
      </c>
      <c r="Y180" s="456">
        <f t="shared" si="271"/>
        <v>82.489426667496929</v>
      </c>
      <c r="AA180" s="225">
        <f t="shared" si="305"/>
        <v>0.3417419104796301</v>
      </c>
      <c r="AB180" s="181">
        <f t="shared" si="306"/>
        <v>0.90433194011639961</v>
      </c>
      <c r="AC180" s="181">
        <f t="shared" si="307"/>
        <v>5.4083421861547541E-2</v>
      </c>
      <c r="AD180" s="181"/>
      <c r="AE180" s="181">
        <f t="shared" si="308"/>
        <v>0.76741030172647773</v>
      </c>
      <c r="AF180" s="565">
        <f t="shared" si="309"/>
        <v>1887.2249418736153</v>
      </c>
      <c r="AG180" s="548">
        <f t="shared" si="310"/>
        <v>3.8946072812618741E-2</v>
      </c>
      <c r="AI180" s="181">
        <f t="shared" si="311"/>
        <v>0.67340418262431168</v>
      </c>
      <c r="AJ180" s="181">
        <f t="shared" si="312"/>
        <v>1.45</v>
      </c>
      <c r="AK180" s="181">
        <f t="shared" si="313"/>
        <v>2.0592592592592593</v>
      </c>
      <c r="AM180" s="565">
        <f t="shared" si="314"/>
        <v>210</v>
      </c>
      <c r="AN180" s="474">
        <f t="shared" si="315"/>
        <v>82.489426667496929</v>
      </c>
      <c r="AP180" t="str">
        <f t="shared" si="316"/>
        <v/>
      </c>
      <c r="AQ180" t="str">
        <f t="shared" si="317"/>
        <v/>
      </c>
      <c r="AS180" s="6">
        <f t="shared" si="237"/>
        <v>12.122765794346673</v>
      </c>
      <c r="AT180" s="6">
        <f t="shared" si="318"/>
        <v>8.2857142857142847</v>
      </c>
      <c r="AU180" s="6">
        <f t="shared" si="272"/>
        <v>3.8370515086323884</v>
      </c>
      <c r="AV180" s="6"/>
      <c r="AW180" s="181">
        <f t="shared" si="273"/>
        <v>0.68348382095926019</v>
      </c>
      <c r="AX180" s="181">
        <f t="shared" si="233"/>
        <v>3.4686803913682462</v>
      </c>
      <c r="AY180" s="181">
        <f t="shared" si="234"/>
        <v>0.22947422980453636</v>
      </c>
      <c r="AZ180" s="181">
        <f t="shared" si="238"/>
        <v>15.115773105863914</v>
      </c>
      <c r="BD180" s="181">
        <f t="shared" si="239"/>
        <v>0.69210421507333808</v>
      </c>
      <c r="BE180" s="181">
        <f t="shared" si="235"/>
        <v>0.47098310883836564</v>
      </c>
      <c r="BG180" s="548">
        <f t="shared" si="274"/>
        <v>0.16765288558279848</v>
      </c>
      <c r="BH180" s="548">
        <f t="shared" si="275"/>
        <v>2.6613151278601196E-2</v>
      </c>
      <c r="BI180" s="548">
        <f t="shared" si="276"/>
        <v>1.0311178333437115E-3</v>
      </c>
      <c r="BJ180" s="548">
        <f t="shared" si="277"/>
        <v>2.3481517529007176E-3</v>
      </c>
      <c r="BK180">
        <f t="shared" si="278"/>
        <v>2.0300000000000001E-3</v>
      </c>
      <c r="BL180" s="474">
        <f t="shared" si="279"/>
        <v>199.67530644764412</v>
      </c>
      <c r="BM180" s="548">
        <f t="shared" si="280"/>
        <v>7.3499999999999996E-2</v>
      </c>
      <c r="BP180" s="474">
        <f t="shared" si="281"/>
        <v>73.5</v>
      </c>
      <c r="BQ180" s="548">
        <f t="shared" si="282"/>
        <v>0</v>
      </c>
      <c r="BR180" s="548">
        <f t="shared" si="283"/>
        <v>0</v>
      </c>
      <c r="BS180" s="548">
        <f t="shared" si="284"/>
        <v>7.8232232297125431E-3</v>
      </c>
      <c r="BT180" s="548">
        <f t="shared" si="285"/>
        <v>0.18210572054683294</v>
      </c>
      <c r="BU180" s="474">
        <f t="shared" si="286"/>
        <v>189.92894377654548</v>
      </c>
      <c r="BV180" s="181">
        <f t="shared" si="287"/>
        <v>0.46310425022418955</v>
      </c>
      <c r="BW180" s="6">
        <f t="shared" si="288"/>
        <v>3.1218123522314212</v>
      </c>
      <c r="BX180" s="181">
        <f t="shared" si="289"/>
        <v>0.87081868239083438</v>
      </c>
      <c r="BY180" s="6">
        <f t="shared" si="290"/>
        <v>87.081868239083434</v>
      </c>
      <c r="CB180" s="583">
        <f t="shared" si="319"/>
        <v>82.489426667496929</v>
      </c>
      <c r="CC180">
        <f t="shared" si="320"/>
        <v>2.7261272386632394</v>
      </c>
    </row>
    <row r="181" spans="5:81" x14ac:dyDescent="0.2">
      <c r="E181" s="178">
        <v>71</v>
      </c>
      <c r="F181" s="225">
        <f t="shared" si="321"/>
        <v>0.21299999999999999</v>
      </c>
      <c r="G181" s="225"/>
      <c r="H181" s="225">
        <f t="shared" si="291"/>
        <v>3.1949999999999998</v>
      </c>
      <c r="I181" s="561">
        <f t="shared" si="292"/>
        <v>7</v>
      </c>
      <c r="J181" s="456">
        <f t="shared" si="293"/>
        <v>14.811810927992232</v>
      </c>
      <c r="K181" s="456">
        <f t="shared" si="294"/>
        <v>22.25</v>
      </c>
      <c r="L181" s="456"/>
      <c r="M181" s="225">
        <f t="shared" si="295"/>
        <v>0.6853932584269663</v>
      </c>
      <c r="N181" s="180">
        <f t="shared" si="296"/>
        <v>3.1305337078651685</v>
      </c>
      <c r="O181" s="180">
        <f t="shared" si="236"/>
        <v>3.1016657276623452</v>
      </c>
      <c r="P181" s="225">
        <f t="shared" si="297"/>
        <v>0.20870224719101124</v>
      </c>
      <c r="Q181" s="225">
        <f t="shared" si="298"/>
        <v>14.697341351479665</v>
      </c>
      <c r="R181" s="225"/>
      <c r="S181" s="180">
        <f t="shared" si="299"/>
        <v>14.561810927992232</v>
      </c>
      <c r="T181" s="556">
        <f t="shared" si="300"/>
        <v>14.561810927992232</v>
      </c>
      <c r="U181" s="225">
        <f t="shared" si="301"/>
        <v>1.45</v>
      </c>
      <c r="V181" s="225">
        <f t="shared" si="302"/>
        <v>8.2857142857142847</v>
      </c>
      <c r="W181" s="225">
        <f t="shared" si="303"/>
        <v>3.9157939756298252</v>
      </c>
      <c r="X181" s="205">
        <f t="shared" si="304"/>
        <v>350</v>
      </c>
      <c r="Y181" s="456">
        <f t="shared" si="271"/>
        <v>81.957080926472344</v>
      </c>
      <c r="AA181" s="225">
        <f t="shared" si="305"/>
        <v>0.33953647812395671</v>
      </c>
      <c r="AB181" s="181">
        <f t="shared" si="306"/>
        <v>0.91693441072024673</v>
      </c>
      <c r="AC181" s="181">
        <f t="shared" si="307"/>
        <v>5.4483219085158179E-2</v>
      </c>
      <c r="AD181" s="181"/>
      <c r="AE181" s="181">
        <f t="shared" si="308"/>
        <v>0.7831587951259652</v>
      </c>
      <c r="AF181" s="565">
        <f t="shared" si="309"/>
        <v>1875.6930604413469</v>
      </c>
      <c r="AG181" s="548">
        <f t="shared" si="310"/>
        <v>3.9745308852642734E-2</v>
      </c>
      <c r="AI181" s="181">
        <f t="shared" si="311"/>
        <v>0.67134361306927359</v>
      </c>
      <c r="AJ181" s="181">
        <f t="shared" si="312"/>
        <v>1.45</v>
      </c>
      <c r="AK181" s="181">
        <f t="shared" si="313"/>
        <v>2.0592592592592593</v>
      </c>
      <c r="AM181" s="565">
        <f t="shared" si="314"/>
        <v>213</v>
      </c>
      <c r="AN181" s="474">
        <f t="shared" si="315"/>
        <v>81.957080926472344</v>
      </c>
      <c r="AP181" t="str">
        <f t="shared" si="316"/>
        <v/>
      </c>
      <c r="AQ181" t="str">
        <f t="shared" si="317"/>
        <v/>
      </c>
      <c r="AS181" s="6">
        <f t="shared" si="237"/>
        <v>12.201508261344109</v>
      </c>
      <c r="AT181" s="6">
        <f t="shared" si="318"/>
        <v>8.2857142857142847</v>
      </c>
      <c r="AU181" s="6">
        <f t="shared" si="272"/>
        <v>3.9157939756298248</v>
      </c>
      <c r="AV181" s="6"/>
      <c r="AW181" s="181">
        <f t="shared" si="273"/>
        <v>0.67907295624791364</v>
      </c>
      <c r="AX181" s="181">
        <f t="shared" si="233"/>
        <v>3.4462952529581625</v>
      </c>
      <c r="AY181" s="181">
        <f t="shared" si="234"/>
        <v>0.23267210672026262</v>
      </c>
      <c r="AZ181" s="181">
        <f t="shared" si="238"/>
        <v>14.811810927992241</v>
      </c>
      <c r="BD181" s="181">
        <f t="shared" si="239"/>
        <v>0.6898673521074512</v>
      </c>
      <c r="BE181" s="181">
        <f t="shared" si="235"/>
        <v>0.47425348689238667</v>
      </c>
      <c r="BG181" s="548">
        <f t="shared" si="274"/>
        <v>0.16657093722631111</v>
      </c>
      <c r="BH181" s="548">
        <f t="shared" si="275"/>
        <v>2.6441403233903139E-2</v>
      </c>
      <c r="BI181" s="548">
        <f t="shared" si="276"/>
        <v>1.0244635115809044E-3</v>
      </c>
      <c r="BJ181" s="548">
        <f t="shared" si="277"/>
        <v>2.3329979491292984E-3</v>
      </c>
      <c r="BK181">
        <f t="shared" si="278"/>
        <v>2.0300000000000001E-3</v>
      </c>
      <c r="BL181" s="474">
        <f t="shared" si="279"/>
        <v>198.39980192092446</v>
      </c>
      <c r="BM181" s="548">
        <f t="shared" si="280"/>
        <v>7.4549999999999991E-2</v>
      </c>
      <c r="BP181" s="474">
        <f t="shared" si="281"/>
        <v>74.55</v>
      </c>
      <c r="BQ181" s="548">
        <f t="shared" si="282"/>
        <v>0</v>
      </c>
      <c r="BR181" s="548">
        <f t="shared" si="283"/>
        <v>0</v>
      </c>
      <c r="BS181" s="548">
        <f t="shared" si="284"/>
        <v>7.6976155017892678E-3</v>
      </c>
      <c r="BT181" s="548">
        <f t="shared" si="285"/>
        <v>0.18093050078030354</v>
      </c>
      <c r="BU181" s="474">
        <f t="shared" si="286"/>
        <v>188.6281162820928</v>
      </c>
      <c r="BV181" s="181">
        <f t="shared" si="287"/>
        <v>0.46157791820301725</v>
      </c>
      <c r="BW181" s="6">
        <f t="shared" si="288"/>
        <v>3.1016657276623452</v>
      </c>
      <c r="BX181" s="181">
        <f t="shared" si="289"/>
        <v>0.87046130883061767</v>
      </c>
      <c r="BY181" s="6">
        <f t="shared" si="290"/>
        <v>87.046130883061764</v>
      </c>
      <c r="CB181" s="583">
        <f t="shared" si="319"/>
        <v>-50</v>
      </c>
      <c r="CC181">
        <f t="shared" si="320"/>
        <v>-50</v>
      </c>
    </row>
    <row r="182" spans="5:81" x14ac:dyDescent="0.2">
      <c r="E182" s="178">
        <v>72</v>
      </c>
      <c r="F182" s="225">
        <f t="shared" si="321"/>
        <v>0.216</v>
      </c>
      <c r="G182" s="225"/>
      <c r="H182" s="225">
        <f t="shared" si="291"/>
        <v>3.2399999999999998</v>
      </c>
      <c r="I182" s="561">
        <f t="shared" si="292"/>
        <v>7</v>
      </c>
      <c r="J182" s="456">
        <f t="shared" si="293"/>
        <v>14.516386748608509</v>
      </c>
      <c r="K182" s="456">
        <f t="shared" si="294"/>
        <v>22.25</v>
      </c>
      <c r="L182" s="456"/>
      <c r="M182" s="225">
        <f t="shared" si="295"/>
        <v>0.6853932584269663</v>
      </c>
      <c r="N182" s="180">
        <f t="shared" si="296"/>
        <v>3.1305337078651685</v>
      </c>
      <c r="O182" s="180">
        <f t="shared" si="236"/>
        <v>3.0815395376994381</v>
      </c>
      <c r="P182" s="225">
        <f t="shared" si="297"/>
        <v>0.20870224719101124</v>
      </c>
      <c r="Q182" s="225">
        <f t="shared" si="298"/>
        <v>14.493211610486892</v>
      </c>
      <c r="R182" s="225"/>
      <c r="S182" s="180">
        <f t="shared" si="299"/>
        <v>14.266386748608509</v>
      </c>
      <c r="T182" s="556">
        <f t="shared" si="300"/>
        <v>14.266386748608509</v>
      </c>
      <c r="U182" s="225">
        <f t="shared" si="301"/>
        <v>1.45</v>
      </c>
      <c r="V182" s="225">
        <f t="shared" si="302"/>
        <v>8.2857142857142847</v>
      </c>
      <c r="W182" s="225">
        <f t="shared" si="303"/>
        <v>3.9954846205485453</v>
      </c>
      <c r="X182" s="205">
        <f t="shared" si="304"/>
        <v>350</v>
      </c>
      <c r="Y182" s="456">
        <f t="shared" si="271"/>
        <v>81.425275140690644</v>
      </c>
      <c r="AA182" s="225">
        <f t="shared" si="305"/>
        <v>0.33733328272571833</v>
      </c>
      <c r="AB182" s="181">
        <f t="shared" si="306"/>
        <v>0.9295240987101806</v>
      </c>
      <c r="AC182" s="181">
        <f t="shared" si="307"/>
        <v>5.4872897728349725E-2</v>
      </c>
      <c r="AD182" s="181"/>
      <c r="AE182" s="181">
        <f t="shared" si="308"/>
        <v>0.79909692410970912</v>
      </c>
      <c r="AF182" s="565">
        <f t="shared" si="309"/>
        <v>1864.1733280020439</v>
      </c>
      <c r="AG182" s="548">
        <f t="shared" si="310"/>
        <v>4.0554168898567736E-2</v>
      </c>
      <c r="AI182" s="181">
        <f t="shared" si="311"/>
        <v>0.66927888034163174</v>
      </c>
      <c r="AJ182" s="181">
        <f t="shared" si="312"/>
        <v>1.45</v>
      </c>
      <c r="AK182" s="181">
        <f t="shared" si="313"/>
        <v>2.0592592592592593</v>
      </c>
      <c r="AM182" s="565">
        <f t="shared" si="314"/>
        <v>216</v>
      </c>
      <c r="AN182" s="474">
        <f t="shared" si="315"/>
        <v>81.425275140690644</v>
      </c>
      <c r="AP182" t="str">
        <f t="shared" si="316"/>
        <v/>
      </c>
      <c r="AQ182" t="str">
        <f t="shared" si="317"/>
        <v/>
      </c>
      <c r="AS182" s="6">
        <f t="shared" si="237"/>
        <v>12.28119890626283</v>
      </c>
      <c r="AT182" s="6">
        <f t="shared" si="318"/>
        <v>8.2857142857142847</v>
      </c>
      <c r="AU182" s="6">
        <f t="shared" si="272"/>
        <v>3.9954846205485453</v>
      </c>
      <c r="AV182" s="6"/>
      <c r="AW182" s="181">
        <f t="shared" si="273"/>
        <v>0.67466656545143677</v>
      </c>
      <c r="AX182" s="181">
        <f t="shared" si="233"/>
        <v>3.4239328196660423</v>
      </c>
      <c r="AY182" s="181">
        <f t="shared" si="234"/>
        <v>0.23586674004770833</v>
      </c>
      <c r="AZ182" s="181">
        <f t="shared" si="238"/>
        <v>14.516386748608515</v>
      </c>
      <c r="BD182" s="181">
        <f t="shared" si="239"/>
        <v>0.6876254925130989</v>
      </c>
      <c r="BE182" s="181">
        <f t="shared" si="235"/>
        <v>0.47749818363995</v>
      </c>
      <c r="BG182" s="548">
        <f t="shared" si="274"/>
        <v>0.16549008628385864</v>
      </c>
      <c r="BH182" s="548">
        <f t="shared" si="275"/>
        <v>2.6269829392265315E-2</v>
      </c>
      <c r="BI182" s="548">
        <f t="shared" si="276"/>
        <v>1.0178159392586329E-3</v>
      </c>
      <c r="BJ182" s="548">
        <f t="shared" si="277"/>
        <v>2.3178595157744438E-3</v>
      </c>
      <c r="BK182">
        <f t="shared" si="278"/>
        <v>2.0300000000000001E-3</v>
      </c>
      <c r="BL182" s="474">
        <f t="shared" si="279"/>
        <v>197.12559113115705</v>
      </c>
      <c r="BM182" s="548">
        <f t="shared" si="280"/>
        <v>7.5600000000000001E-2</v>
      </c>
      <c r="BP182" s="474">
        <f t="shared" si="281"/>
        <v>75.599999999999994</v>
      </c>
      <c r="BQ182" s="548">
        <f t="shared" si="282"/>
        <v>0</v>
      </c>
      <c r="BR182" s="548">
        <f t="shared" si="283"/>
        <v>0</v>
      </c>
      <c r="BS182" s="548">
        <f t="shared" si="284"/>
        <v>7.5733511982731313E-3</v>
      </c>
      <c r="BT182" s="548">
        <f t="shared" si="285"/>
        <v>0.17975647303246722</v>
      </c>
      <c r="BU182" s="474">
        <f t="shared" si="286"/>
        <v>187.32982423074034</v>
      </c>
      <c r="BV182" s="181">
        <f t="shared" si="287"/>
        <v>0.46005541536189737</v>
      </c>
      <c r="BW182" s="6">
        <f t="shared" si="288"/>
        <v>3.0815395376994381</v>
      </c>
      <c r="BX182" s="181">
        <f t="shared" si="289"/>
        <v>0.87009937006934457</v>
      </c>
      <c r="BY182" s="6">
        <f t="shared" si="290"/>
        <v>87.00993700693445</v>
      </c>
      <c r="CB182" s="583">
        <f t="shared" si="319"/>
        <v>-50</v>
      </c>
      <c r="CC182">
        <f t="shared" si="320"/>
        <v>-50</v>
      </c>
    </row>
    <row r="183" spans="5:81" x14ac:dyDescent="0.2">
      <c r="E183" s="178">
        <v>73</v>
      </c>
      <c r="F183" s="225">
        <f t="shared" si="321"/>
        <v>0.219</v>
      </c>
      <c r="G183" s="225"/>
      <c r="H183" s="225">
        <f t="shared" si="291"/>
        <v>3.2850000000000001</v>
      </c>
      <c r="I183" s="561">
        <f t="shared" si="292"/>
        <v>7</v>
      </c>
      <c r="J183" s="456">
        <f t="shared" si="293"/>
        <v>14.229151338884671</v>
      </c>
      <c r="K183" s="456">
        <f t="shared" si="294"/>
        <v>22.25</v>
      </c>
      <c r="L183" s="456"/>
      <c r="M183" s="225">
        <f t="shared" si="295"/>
        <v>0.6853932584269663</v>
      </c>
      <c r="N183" s="180">
        <f t="shared" si="296"/>
        <v>3.1305337078651685</v>
      </c>
      <c r="O183" s="180">
        <f t="shared" si="236"/>
        <v>3.061434143215743</v>
      </c>
      <c r="P183" s="225">
        <f t="shared" si="297"/>
        <v>0.20870224719101124</v>
      </c>
      <c r="Q183" s="225">
        <f t="shared" si="298"/>
        <v>14.294674465137756</v>
      </c>
      <c r="R183" s="225"/>
      <c r="S183" s="180">
        <f t="shared" si="299"/>
        <v>13.979151338884671</v>
      </c>
      <c r="T183" s="556">
        <f t="shared" si="300"/>
        <v>13.979151338884671</v>
      </c>
      <c r="U183" s="225">
        <f t="shared" si="301"/>
        <v>1.45</v>
      </c>
      <c r="V183" s="225">
        <f t="shared" si="302"/>
        <v>8.2857142857142847</v>
      </c>
      <c r="W183" s="225">
        <f t="shared" si="303"/>
        <v>4.0761390907060404</v>
      </c>
      <c r="X183" s="205">
        <f t="shared" si="304"/>
        <v>350</v>
      </c>
      <c r="Y183" s="456">
        <f t="shared" si="271"/>
        <v>80.894018845705986</v>
      </c>
      <c r="AA183" s="225">
        <f t="shared" si="305"/>
        <v>0.3351323637893534</v>
      </c>
      <c r="AB183" s="181">
        <f t="shared" si="306"/>
        <v>0.94210077834655248</v>
      </c>
      <c r="AC183" s="181">
        <f t="shared" si="307"/>
        <v>5.5252480635637216E-2</v>
      </c>
      <c r="AD183" s="181"/>
      <c r="AE183" s="181">
        <f t="shared" si="308"/>
        <v>0.81522781814120804</v>
      </c>
      <c r="AF183" s="565">
        <f t="shared" si="309"/>
        <v>1852.6659591056737</v>
      </c>
      <c r="AG183" s="548">
        <f t="shared" si="310"/>
        <v>4.1372811770666311E-2</v>
      </c>
      <c r="AI183" s="181">
        <f t="shared" si="311"/>
        <v>0.66720998442509438</v>
      </c>
      <c r="AJ183" s="181">
        <f t="shared" si="312"/>
        <v>1.45</v>
      </c>
      <c r="AK183" s="181">
        <f t="shared" si="313"/>
        <v>2.0592592592592593</v>
      </c>
      <c r="AM183" s="565">
        <f t="shared" si="314"/>
        <v>219</v>
      </c>
      <c r="AN183" s="474">
        <f t="shared" si="315"/>
        <v>80.894018845705986</v>
      </c>
      <c r="AP183" t="str">
        <f t="shared" si="316"/>
        <v/>
      </c>
      <c r="AQ183" t="str">
        <f t="shared" si="317"/>
        <v/>
      </c>
      <c r="AS183" s="6">
        <f t="shared" si="237"/>
        <v>12.361853376420326</v>
      </c>
      <c r="AT183" s="6">
        <f t="shared" si="318"/>
        <v>8.2857142857142847</v>
      </c>
      <c r="AU183" s="6">
        <f t="shared" si="272"/>
        <v>4.0761390907060413</v>
      </c>
      <c r="AV183" s="6"/>
      <c r="AW183" s="181">
        <f t="shared" si="273"/>
        <v>0.67026472757870659</v>
      </c>
      <c r="AX183" s="181">
        <f t="shared" si="233"/>
        <v>3.4015934924619371</v>
      </c>
      <c r="AY183" s="181">
        <f t="shared" si="234"/>
        <v>0.23905807250543773</v>
      </c>
      <c r="AZ183" s="181">
        <f t="shared" si="238"/>
        <v>14.229151338884668</v>
      </c>
      <c r="BD183" s="181">
        <f t="shared" si="239"/>
        <v>0.68537862765390012</v>
      </c>
      <c r="BE183" s="181">
        <f t="shared" si="235"/>
        <v>0.48071766151098483</v>
      </c>
      <c r="BG183" s="548">
        <f t="shared" si="274"/>
        <v>0.16441035213566021</v>
      </c>
      <c r="BH183" s="548">
        <f t="shared" si="275"/>
        <v>2.6098432830095893E-2</v>
      </c>
      <c r="BI183" s="548">
        <f t="shared" si="276"/>
        <v>1.0111752355713248E-3</v>
      </c>
      <c r="BJ183" s="548">
        <f t="shared" si="277"/>
        <v>2.3027367242761335E-3</v>
      </c>
      <c r="BK183">
        <f t="shared" si="278"/>
        <v>2.0300000000000001E-3</v>
      </c>
      <c r="BL183" s="474">
        <f t="shared" si="279"/>
        <v>195.85269692560357</v>
      </c>
      <c r="BM183" s="548">
        <f t="shared" si="280"/>
        <v>7.6649999999999996E-2</v>
      </c>
      <c r="BP183" s="474">
        <f t="shared" si="281"/>
        <v>76.649999999999991</v>
      </c>
      <c r="BQ183" s="548">
        <f t="shared" si="282"/>
        <v>0</v>
      </c>
      <c r="BR183" s="548">
        <f t="shared" si="283"/>
        <v>0</v>
      </c>
      <c r="BS183" s="548">
        <f t="shared" si="284"/>
        <v>7.4504248689782667E-3</v>
      </c>
      <c r="BT183" s="548">
        <f t="shared" si="285"/>
        <v>0.17858365835425172</v>
      </c>
      <c r="BU183" s="474">
        <f t="shared" si="286"/>
        <v>186.03408322322997</v>
      </c>
      <c r="BV183" s="181">
        <f t="shared" si="287"/>
        <v>0.45853678014883359</v>
      </c>
      <c r="BW183" s="6">
        <f t="shared" si="288"/>
        <v>3.061434143215743</v>
      </c>
      <c r="BX183" s="181">
        <f t="shared" si="289"/>
        <v>0.86973279321564978</v>
      </c>
      <c r="BY183" s="6">
        <f t="shared" si="290"/>
        <v>86.973279321564974</v>
      </c>
      <c r="CB183" s="583">
        <f t="shared" si="319"/>
        <v>-50</v>
      </c>
      <c r="CC183">
        <f t="shared" si="320"/>
        <v>-50</v>
      </c>
    </row>
    <row r="184" spans="5:81" x14ac:dyDescent="0.2">
      <c r="E184" s="178">
        <v>74</v>
      </c>
      <c r="F184" s="225">
        <f t="shared" si="321"/>
        <v>0.222</v>
      </c>
      <c r="G184" s="225"/>
      <c r="H184" s="225">
        <f t="shared" si="291"/>
        <v>3.33</v>
      </c>
      <c r="I184" s="561">
        <f t="shared" si="292"/>
        <v>7</v>
      </c>
      <c r="J184" s="456">
        <f t="shared" si="293"/>
        <v>13.949774381944259</v>
      </c>
      <c r="K184" s="456">
        <f t="shared" si="294"/>
        <v>22.25</v>
      </c>
      <c r="L184" s="456"/>
      <c r="M184" s="225">
        <f t="shared" si="295"/>
        <v>0.6853932584269663</v>
      </c>
      <c r="N184" s="180">
        <f t="shared" si="296"/>
        <v>3.1305337078651685</v>
      </c>
      <c r="O184" s="180">
        <f t="shared" si="236"/>
        <v>3.0413499127916257</v>
      </c>
      <c r="P184" s="225">
        <f t="shared" si="297"/>
        <v>0.20870224719101124</v>
      </c>
      <c r="Q184" s="225">
        <f t="shared" si="298"/>
        <v>14.101503188581839</v>
      </c>
      <c r="R184" s="225"/>
      <c r="S184" s="180">
        <f t="shared" si="299"/>
        <v>13.699774381944259</v>
      </c>
      <c r="T184" s="556">
        <f t="shared" si="300"/>
        <v>13.699774381944259</v>
      </c>
      <c r="U184" s="225">
        <f t="shared" si="301"/>
        <v>1.45</v>
      </c>
      <c r="V184" s="225">
        <f t="shared" si="302"/>
        <v>8.2857142857142847</v>
      </c>
      <c r="W184" s="225">
        <f t="shared" si="303"/>
        <v>4.1577733382607018</v>
      </c>
      <c r="X184" s="205">
        <f t="shared" si="304"/>
        <v>350</v>
      </c>
      <c r="Y184" s="456">
        <f t="shared" si="271"/>
        <v>80.363321780727333</v>
      </c>
      <c r="AA184" s="225">
        <f t="shared" si="305"/>
        <v>0.33293376166301314</v>
      </c>
      <c r="AB184" s="181">
        <f t="shared" si="306"/>
        <v>0.95466421906849597</v>
      </c>
      <c r="AC184" s="181">
        <f t="shared" si="307"/>
        <v>5.5621991176422511E-2</v>
      </c>
      <c r="AD184" s="181"/>
      <c r="AE184" s="181">
        <f t="shared" si="308"/>
        <v>0.83155466765214037</v>
      </c>
      <c r="AF184" s="565">
        <f t="shared" si="309"/>
        <v>1841.1711728844384</v>
      </c>
      <c r="AG184" s="548">
        <f t="shared" si="310"/>
        <v>4.2201399383346126E-2</v>
      </c>
      <c r="AI184" s="181">
        <f t="shared" si="311"/>
        <v>0.66513692605267649</v>
      </c>
      <c r="AJ184" s="181">
        <f t="shared" si="312"/>
        <v>1.45</v>
      </c>
      <c r="AK184" s="181">
        <f t="shared" si="313"/>
        <v>2.0592592592592593</v>
      </c>
      <c r="AM184" s="565">
        <f t="shared" si="314"/>
        <v>222</v>
      </c>
      <c r="AN184" s="474">
        <f t="shared" si="315"/>
        <v>80.363321780727333</v>
      </c>
      <c r="AP184" t="str">
        <f t="shared" si="316"/>
        <v/>
      </c>
      <c r="AQ184" t="str">
        <f t="shared" si="317"/>
        <v/>
      </c>
      <c r="AS184" s="6">
        <f t="shared" si="237"/>
        <v>12.443487623974987</v>
      </c>
      <c r="AT184" s="6">
        <f t="shared" si="318"/>
        <v>8.2857142857142847</v>
      </c>
      <c r="AU184" s="6">
        <f t="shared" si="272"/>
        <v>4.1577733382607018</v>
      </c>
      <c r="AV184" s="6"/>
      <c r="AW184" s="181">
        <f t="shared" si="273"/>
        <v>0.66586752332602639</v>
      </c>
      <c r="AX184" s="181">
        <f t="shared" si="233"/>
        <v>3.3792776808795848</v>
      </c>
      <c r="AY184" s="181">
        <f t="shared" si="234"/>
        <v>0.24224604558863086</v>
      </c>
      <c r="AZ184" s="181">
        <f t="shared" si="238"/>
        <v>13.949774381944263</v>
      </c>
      <c r="BD184" s="181">
        <f t="shared" si="239"/>
        <v>0.68312674953553831</v>
      </c>
      <c r="BE184" s="181">
        <f t="shared" si="235"/>
        <v>0.48391236541582938</v>
      </c>
      <c r="BG184" s="548">
        <f t="shared" si="274"/>
        <v>0.16333175457584653</v>
      </c>
      <c r="BH184" s="548">
        <f t="shared" si="275"/>
        <v>2.5927216689507156E-2</v>
      </c>
      <c r="BI184" s="548">
        <f t="shared" si="276"/>
        <v>1.0045415222590917E-3</v>
      </c>
      <c r="BJ184" s="548">
        <f t="shared" si="277"/>
        <v>2.2876298518716008E-3</v>
      </c>
      <c r="BK184">
        <f t="shared" si="278"/>
        <v>2.0300000000000001E-3</v>
      </c>
      <c r="BL184" s="474">
        <f t="shared" si="279"/>
        <v>194.5811426394844</v>
      </c>
      <c r="BM184" s="548">
        <f t="shared" si="280"/>
        <v>7.7699999999999991E-2</v>
      </c>
      <c r="BP184" s="474">
        <f t="shared" si="281"/>
        <v>77.699999999999989</v>
      </c>
      <c r="BQ184" s="548">
        <f t="shared" si="282"/>
        <v>0</v>
      </c>
      <c r="BR184" s="548">
        <f t="shared" si="283"/>
        <v>0</v>
      </c>
      <c r="BS184" s="548">
        <f t="shared" si="284"/>
        <v>7.3288310387958494E-3</v>
      </c>
      <c r="BT184" s="548">
        <f t="shared" si="285"/>
        <v>0.17741207824617819</v>
      </c>
      <c r="BU184" s="474">
        <f t="shared" si="286"/>
        <v>184.74090928497407</v>
      </c>
      <c r="BV184" s="181">
        <f t="shared" si="287"/>
        <v>0.45702205192445844</v>
      </c>
      <c r="BW184" s="6">
        <f t="shared" si="288"/>
        <v>3.0413499127916257</v>
      </c>
      <c r="BX184" s="181">
        <f t="shared" si="289"/>
        <v>0.86936150399846102</v>
      </c>
      <c r="BY184" s="6">
        <f t="shared" si="290"/>
        <v>86.936150399846099</v>
      </c>
      <c r="CB184" s="583">
        <f t="shared" si="319"/>
        <v>-50</v>
      </c>
      <c r="CC184">
        <f t="shared" si="320"/>
        <v>-50</v>
      </c>
    </row>
    <row r="185" spans="5:81" x14ac:dyDescent="0.2">
      <c r="E185" s="178">
        <v>75</v>
      </c>
      <c r="F185" s="225">
        <f t="shared" si="321"/>
        <v>0.22499999999999998</v>
      </c>
      <c r="G185" s="225"/>
      <c r="H185" s="225">
        <f t="shared" si="291"/>
        <v>3.3749999999999996</v>
      </c>
      <c r="I185" s="561">
        <f t="shared" si="292"/>
        <v>7</v>
      </c>
      <c r="J185" s="456">
        <f t="shared" si="293"/>
        <v>13.67794321286218</v>
      </c>
      <c r="K185" s="456">
        <f t="shared" si="294"/>
        <v>22.25</v>
      </c>
      <c r="L185" s="456"/>
      <c r="M185" s="225">
        <f t="shared" si="295"/>
        <v>0.6853932584269663</v>
      </c>
      <c r="N185" s="180">
        <f t="shared" si="296"/>
        <v>3.1305337078651685</v>
      </c>
      <c r="O185" s="180">
        <f t="shared" si="236"/>
        <v>3.0212872228939904</v>
      </c>
      <c r="P185" s="225">
        <f t="shared" si="297"/>
        <v>0.20870224719101124</v>
      </c>
      <c r="Q185" s="225">
        <f t="shared" si="298"/>
        <v>13.913483146067417</v>
      </c>
      <c r="R185" s="225"/>
      <c r="S185" s="180">
        <f t="shared" si="299"/>
        <v>13.42794321286218</v>
      </c>
      <c r="T185" s="556">
        <f t="shared" si="300"/>
        <v>13.42794321286218</v>
      </c>
      <c r="U185" s="225">
        <f t="shared" si="301"/>
        <v>1.45</v>
      </c>
      <c r="V185" s="225">
        <f t="shared" si="302"/>
        <v>8.2857142857142847</v>
      </c>
      <c r="W185" s="225">
        <f t="shared" si="303"/>
        <v>4.2404036262893072</v>
      </c>
      <c r="X185" s="205">
        <f t="shared" si="304"/>
        <v>350</v>
      </c>
      <c r="Y185" s="456">
        <f t="shared" si="271"/>
        <v>79.83319389335422</v>
      </c>
      <c r="AA185" s="225">
        <f t="shared" si="305"/>
        <v>0.3307375175581817</v>
      </c>
      <c r="AB185" s="181">
        <f t="shared" si="306"/>
        <v>0.96721418538181869</v>
      </c>
      <c r="AC185" s="181">
        <f t="shared" si="307"/>
        <v>5.5981453258542292E-2</v>
      </c>
      <c r="AD185" s="181"/>
      <c r="AE185" s="181">
        <f t="shared" si="308"/>
        <v>0.84808072525786149</v>
      </c>
      <c r="AF185" s="565">
        <f t="shared" si="309"/>
        <v>1829.6891931593286</v>
      </c>
      <c r="AG185" s="548">
        <f t="shared" si="310"/>
        <v>4.3040096806836459E-2</v>
      </c>
      <c r="AI185" s="181">
        <f t="shared" si="311"/>
        <v>0.66305970673774273</v>
      </c>
      <c r="AJ185" s="181">
        <f t="shared" si="312"/>
        <v>1.45</v>
      </c>
      <c r="AK185" s="181">
        <f t="shared" si="313"/>
        <v>2.0592592592592593</v>
      </c>
      <c r="AM185" s="565">
        <f t="shared" si="314"/>
        <v>224.99999999999997</v>
      </c>
      <c r="AN185" s="474">
        <f t="shared" si="315"/>
        <v>79.83319389335422</v>
      </c>
      <c r="AP185" t="str">
        <f t="shared" si="316"/>
        <v/>
      </c>
      <c r="AQ185" t="str">
        <f t="shared" si="317"/>
        <v/>
      </c>
      <c r="AS185" s="6">
        <f t="shared" si="237"/>
        <v>12.52611791200359</v>
      </c>
      <c r="AT185" s="6">
        <f t="shared" si="318"/>
        <v>8.2857142857142847</v>
      </c>
      <c r="AU185" s="6">
        <f t="shared" si="272"/>
        <v>4.2404036262893054</v>
      </c>
      <c r="AV185" s="6"/>
      <c r="AW185" s="181">
        <f t="shared" si="273"/>
        <v>0.66147503511636352</v>
      </c>
      <c r="AX185" s="181">
        <f t="shared" si="233"/>
        <v>3.3569858032155455</v>
      </c>
      <c r="AY185" s="181">
        <f t="shared" si="234"/>
        <v>0.24543059954063645</v>
      </c>
      <c r="AZ185" s="181">
        <f t="shared" si="238"/>
        <v>13.677943212862186</v>
      </c>
      <c r="BD185" s="181">
        <f t="shared" si="239"/>
        <v>0.68086985083596174</v>
      </c>
      <c r="BE185" s="181">
        <f t="shared" si="235"/>
        <v>0.48708272352440152</v>
      </c>
      <c r="BG185" s="548">
        <f t="shared" si="274"/>
        <v>0.16225431382208466</v>
      </c>
      <c r="BH185" s="548">
        <f t="shared" si="275"/>
        <v>2.5756184179843405E-2</v>
      </c>
      <c r="BI185" s="548">
        <f t="shared" si="276"/>
        <v>9.979149236669278E-4</v>
      </c>
      <c r="BJ185" s="548">
        <f t="shared" si="277"/>
        <v>2.2725391817301488E-3</v>
      </c>
      <c r="BK185">
        <f t="shared" si="278"/>
        <v>2.0300000000000001E-3</v>
      </c>
      <c r="BL185" s="474">
        <f t="shared" si="279"/>
        <v>193.31095210732516</v>
      </c>
      <c r="BM185" s="548">
        <f t="shared" si="280"/>
        <v>7.8749999999999987E-2</v>
      </c>
      <c r="BP185" s="474">
        <f t="shared" si="281"/>
        <v>78.749999999999986</v>
      </c>
      <c r="BQ185" s="548">
        <f t="shared" si="282"/>
        <v>0</v>
      </c>
      <c r="BR185" s="548">
        <f t="shared" si="283"/>
        <v>0</v>
      </c>
      <c r="BS185" s="548">
        <f t="shared" si="284"/>
        <v>7.2085642073482139E-3</v>
      </c>
      <c r="BT185" s="548">
        <f t="shared" si="285"/>
        <v>0.17624175466881614</v>
      </c>
      <c r="BU185" s="474">
        <f t="shared" si="286"/>
        <v>183.45031887616437</v>
      </c>
      <c r="BV185" s="181">
        <f t="shared" si="287"/>
        <v>0.45551127098348954</v>
      </c>
      <c r="BW185" s="6">
        <f t="shared" si="288"/>
        <v>3.0212872228939904</v>
      </c>
      <c r="BX185" s="181">
        <f t="shared" si="289"/>
        <v>0.86898542674082813</v>
      </c>
      <c r="BY185" s="6">
        <f t="shared" si="290"/>
        <v>86.898542674082819</v>
      </c>
      <c r="CB185" s="583">
        <f t="shared" si="319"/>
        <v>-50</v>
      </c>
      <c r="CC185">
        <f t="shared" si="320"/>
        <v>-50</v>
      </c>
    </row>
    <row r="186" spans="5:81" x14ac:dyDescent="0.2">
      <c r="E186" s="178">
        <v>76</v>
      </c>
      <c r="F186" s="225">
        <f t="shared" si="321"/>
        <v>0.22799999999999998</v>
      </c>
      <c r="G186" s="225"/>
      <c r="H186" s="225">
        <f t="shared" si="291"/>
        <v>3.42</v>
      </c>
      <c r="I186" s="561">
        <f t="shared" si="292"/>
        <v>7</v>
      </c>
      <c r="J186" s="456">
        <f t="shared" si="293"/>
        <v>13.413361658155306</v>
      </c>
      <c r="K186" s="456">
        <f t="shared" si="294"/>
        <v>22.25</v>
      </c>
      <c r="L186" s="456"/>
      <c r="M186" s="225">
        <f t="shared" si="295"/>
        <v>0.6853932584269663</v>
      </c>
      <c r="N186" s="180">
        <f t="shared" si="296"/>
        <v>3.1305337078651685</v>
      </c>
      <c r="O186" s="180">
        <f t="shared" si="236"/>
        <v>3.0012464580594096</v>
      </c>
      <c r="P186" s="225">
        <f t="shared" si="297"/>
        <v>0.20870224719101124</v>
      </c>
      <c r="Q186" s="225">
        <f t="shared" si="298"/>
        <v>13.730410999408635</v>
      </c>
      <c r="R186" s="225"/>
      <c r="S186" s="180">
        <f t="shared" si="299"/>
        <v>13.163361658155306</v>
      </c>
      <c r="T186" s="556">
        <f t="shared" si="300"/>
        <v>13.163361658155306</v>
      </c>
      <c r="U186" s="225">
        <f t="shared" si="301"/>
        <v>1.45</v>
      </c>
      <c r="V186" s="225">
        <f t="shared" si="302"/>
        <v>8.2857142857142847</v>
      </c>
      <c r="W186" s="225">
        <f t="shared" si="303"/>
        <v>4.324046534951667</v>
      </c>
      <c r="X186" s="205">
        <f t="shared" si="304"/>
        <v>350</v>
      </c>
      <c r="Y186" s="456">
        <f t="shared" si="271"/>
        <v>79.303645344415642</v>
      </c>
      <c r="AA186" s="225">
        <f t="shared" si="305"/>
        <v>0.32854367356972186</v>
      </c>
      <c r="AB186" s="181">
        <f t="shared" si="306"/>
        <v>0.97975043674444662</v>
      </c>
      <c r="AC186" s="181">
        <f t="shared" si="307"/>
        <v>5.6330891342172985E-2</v>
      </c>
      <c r="AD186" s="181"/>
      <c r="AE186" s="181">
        <f t="shared" si="308"/>
        <v>0.86480930699033354</v>
      </c>
      <c r="AF186" s="565">
        <f t="shared" si="309"/>
        <v>1818.220248548995</v>
      </c>
      <c r="AG186" s="548">
        <f t="shared" si="310"/>
        <v>4.3889072329759415E-2</v>
      </c>
      <c r="AI186" s="181">
        <f t="shared" si="311"/>
        <v>0.66097832880612972</v>
      </c>
      <c r="AJ186" s="181">
        <f t="shared" si="312"/>
        <v>1.45</v>
      </c>
      <c r="AK186" s="181">
        <f t="shared" si="313"/>
        <v>2.0592592592592593</v>
      </c>
      <c r="AM186" s="565">
        <f t="shared" si="314"/>
        <v>227.99999999999997</v>
      </c>
      <c r="AN186" s="474">
        <f t="shared" si="315"/>
        <v>79.303645344415642</v>
      </c>
      <c r="AP186" t="str">
        <f t="shared" si="316"/>
        <v/>
      </c>
      <c r="AQ186" t="str">
        <f t="shared" si="317"/>
        <v/>
      </c>
      <c r="AS186" s="6">
        <f t="shared" si="237"/>
        <v>12.609760820665949</v>
      </c>
      <c r="AT186" s="6">
        <f t="shared" si="318"/>
        <v>8.2857142857142847</v>
      </c>
      <c r="AU186" s="6">
        <f t="shared" si="272"/>
        <v>4.3240465349516644</v>
      </c>
      <c r="AV186" s="6"/>
      <c r="AW186" s="181">
        <f t="shared" si="273"/>
        <v>0.65708734713944383</v>
      </c>
      <c r="AX186" s="181">
        <f t="shared" si="233"/>
        <v>3.3347182867326786</v>
      </c>
      <c r="AY186" s="181">
        <f t="shared" si="234"/>
        <v>0.24861167332390322</v>
      </c>
      <c r="AZ186" s="181">
        <f t="shared" si="238"/>
        <v>13.413361658155317</v>
      </c>
      <c r="BD186" s="181">
        <f t="shared" si="239"/>
        <v>0.67860792493669975</v>
      </c>
      <c r="BE186" s="181">
        <f t="shared" si="235"/>
        <v>0.49022914799758666</v>
      </c>
      <c r="BG186" s="548">
        <f t="shared" si="274"/>
        <v>0.16117805052541273</v>
      </c>
      <c r="BH186" s="548">
        <f t="shared" si="275"/>
        <v>2.5585338579242094E-2</v>
      </c>
      <c r="BI186" s="548">
        <f t="shared" si="276"/>
        <v>9.9129556680519534E-4</v>
      </c>
      <c r="BJ186" s="548">
        <f t="shared" si="277"/>
        <v>2.2574650030908862E-3</v>
      </c>
      <c r="BK186">
        <f t="shared" si="278"/>
        <v>2.0300000000000001E-3</v>
      </c>
      <c r="BL186" s="474">
        <f t="shared" si="279"/>
        <v>192.04214967455087</v>
      </c>
      <c r="BM186" s="548">
        <f t="shared" si="280"/>
        <v>7.9799999999999982E-2</v>
      </c>
      <c r="BP186" s="474">
        <f t="shared" si="281"/>
        <v>79.799999999999983</v>
      </c>
      <c r="BQ186" s="548">
        <f t="shared" si="282"/>
        <v>0</v>
      </c>
      <c r="BR186" s="548">
        <f t="shared" si="283"/>
        <v>0</v>
      </c>
      <c r="BS186" s="548">
        <f t="shared" si="284"/>
        <v>7.0896188486359035E-3</v>
      </c>
      <c r="BT186" s="548">
        <f t="shared" si="285"/>
        <v>0.17507271005346561</v>
      </c>
      <c r="BU186" s="474">
        <f t="shared" si="286"/>
        <v>182.16232890210151</v>
      </c>
      <c r="BV186" s="181">
        <f t="shared" si="287"/>
        <v>0.45400447857665238</v>
      </c>
      <c r="BW186" s="6">
        <f t="shared" si="288"/>
        <v>3.0012464580594096</v>
      </c>
      <c r="BX186" s="181">
        <f t="shared" si="289"/>
        <v>0.86860448433344217</v>
      </c>
      <c r="BY186" s="6">
        <f t="shared" si="290"/>
        <v>86.860448433344217</v>
      </c>
      <c r="CB186" s="583">
        <f t="shared" si="319"/>
        <v>-50</v>
      </c>
      <c r="CC186">
        <f t="shared" si="320"/>
        <v>-50</v>
      </c>
    </row>
    <row r="187" spans="5:81" x14ac:dyDescent="0.2">
      <c r="E187" s="178">
        <v>77</v>
      </c>
      <c r="F187" s="225">
        <f t="shared" si="321"/>
        <v>0.23099999999999998</v>
      </c>
      <c r="G187" s="225"/>
      <c r="H187" s="225">
        <f t="shared" si="291"/>
        <v>3.4649999999999999</v>
      </c>
      <c r="I187" s="561">
        <f t="shared" si="292"/>
        <v>7</v>
      </c>
      <c r="J187" s="456">
        <f t="shared" si="293"/>
        <v>13.155748965719445</v>
      </c>
      <c r="K187" s="456">
        <f t="shared" si="294"/>
        <v>22.25</v>
      </c>
      <c r="L187" s="456"/>
      <c r="M187" s="225">
        <f t="shared" si="295"/>
        <v>0.6853932584269663</v>
      </c>
      <c r="N187" s="180">
        <f t="shared" si="296"/>
        <v>3.1305337078651685</v>
      </c>
      <c r="O187" s="180">
        <f t="shared" si="236"/>
        <v>2.9812280110811917</v>
      </c>
      <c r="P187" s="225">
        <f t="shared" si="297"/>
        <v>0.20870224719101124</v>
      </c>
      <c r="Q187" s="225">
        <f t="shared" si="298"/>
        <v>13.55209397344229</v>
      </c>
      <c r="R187" s="225"/>
      <c r="S187" s="180">
        <f t="shared" si="299"/>
        <v>12.905748965719445</v>
      </c>
      <c r="T187" s="556">
        <f t="shared" si="300"/>
        <v>12.905748965719445</v>
      </c>
      <c r="U187" s="225">
        <f t="shared" si="301"/>
        <v>1.45</v>
      </c>
      <c r="V187" s="225">
        <f t="shared" si="302"/>
        <v>8.2857142857142847</v>
      </c>
      <c r="W187" s="225">
        <f t="shared" si="303"/>
        <v>4.4087189677405165</v>
      </c>
      <c r="X187" s="205">
        <f t="shared" si="304"/>
        <v>350</v>
      </c>
      <c r="Y187" s="456">
        <f t="shared" si="271"/>
        <v>78.774686512912993</v>
      </c>
      <c r="AA187" s="225">
        <f t="shared" si="305"/>
        <v>0.3263522726963537</v>
      </c>
      <c r="AB187" s="181">
        <f t="shared" si="306"/>
        <v>0.99227272744940698</v>
      </c>
      <c r="AC187" s="181">
        <f t="shared" si="307"/>
        <v>5.6670330454101615E-2</v>
      </c>
      <c r="AD187" s="181"/>
      <c r="AE187" s="181">
        <f t="shared" si="308"/>
        <v>0.88174379354810339</v>
      </c>
      <c r="AF187" s="565">
        <f t="shared" si="309"/>
        <v>1806.76457258097</v>
      </c>
      <c r="AG187" s="548">
        <f t="shared" si="310"/>
        <v>4.4748497522566238E-2</v>
      </c>
      <c r="AI187" s="181">
        <f t="shared" si="311"/>
        <v>0.65889279542937917</v>
      </c>
      <c r="AJ187" s="181">
        <f t="shared" si="312"/>
        <v>1.45</v>
      </c>
      <c r="AK187" s="181">
        <f t="shared" si="313"/>
        <v>2.0592592592592593</v>
      </c>
      <c r="AM187" s="565">
        <f t="shared" si="314"/>
        <v>230.99999999999997</v>
      </c>
      <c r="AN187" s="474">
        <f t="shared" si="315"/>
        <v>78.774686512912993</v>
      </c>
      <c r="AP187" t="str">
        <f t="shared" si="316"/>
        <v/>
      </c>
      <c r="AQ187" t="str">
        <f t="shared" si="317"/>
        <v/>
      </c>
      <c r="AS187" s="6">
        <f t="shared" si="237"/>
        <v>12.6944332534548</v>
      </c>
      <c r="AT187" s="6">
        <f t="shared" si="318"/>
        <v>8.2857142857142847</v>
      </c>
      <c r="AU187" s="6">
        <f t="shared" si="272"/>
        <v>4.4087189677405156</v>
      </c>
      <c r="AV187" s="6"/>
      <c r="AW187" s="181">
        <f t="shared" si="273"/>
        <v>0.6527045453927075</v>
      </c>
      <c r="AX187" s="181">
        <f t="shared" si="233"/>
        <v>3.3124755678679918</v>
      </c>
      <c r="AY187" s="181">
        <f t="shared" si="234"/>
        <v>0.25178920459028703</v>
      </c>
      <c r="AZ187" s="181">
        <f t="shared" si="238"/>
        <v>13.15574896571945</v>
      </c>
      <c r="BD187" s="181">
        <f t="shared" si="239"/>
        <v>0.67634096595533022</v>
      </c>
      <c r="BE187" s="181">
        <f t="shared" si="235"/>
        <v>0.49335203567426789</v>
      </c>
      <c r="BG187" s="548">
        <f t="shared" si="274"/>
        <v>0.1601029857802862</v>
      </c>
      <c r="BH187" s="548">
        <f t="shared" si="275"/>
        <v>2.5414683236228554E-2</v>
      </c>
      <c r="BI187" s="548">
        <f t="shared" si="276"/>
        <v>9.8468358141141237E-4</v>
      </c>
      <c r="BJ187" s="548">
        <f t="shared" si="277"/>
        <v>2.2424076114034414E-3</v>
      </c>
      <c r="BK187">
        <f t="shared" si="278"/>
        <v>2.0300000000000001E-3</v>
      </c>
      <c r="BL187" s="474">
        <f t="shared" si="279"/>
        <v>190.7747602093296</v>
      </c>
      <c r="BM187" s="548">
        <f t="shared" si="280"/>
        <v>8.0849999999999991E-2</v>
      </c>
      <c r="BP187" s="474">
        <f t="shared" si="281"/>
        <v>80.849999999999994</v>
      </c>
      <c r="BQ187" s="548">
        <f t="shared" si="282"/>
        <v>0</v>
      </c>
      <c r="BR187" s="548">
        <f t="shared" si="283"/>
        <v>0</v>
      </c>
      <c r="BS187" s="548">
        <f t="shared" si="284"/>
        <v>6.9719894106778212E-3</v>
      </c>
      <c r="BT187" s="548">
        <f t="shared" si="285"/>
        <v>0.17390496731306956</v>
      </c>
      <c r="BU187" s="474">
        <f t="shared" si="286"/>
        <v>180.87695672374738</v>
      </c>
      <c r="BV187" s="181">
        <f t="shared" si="287"/>
        <v>0.45250171693307695</v>
      </c>
      <c r="BW187" s="6">
        <f t="shared" si="288"/>
        <v>2.9812280110811917</v>
      </c>
      <c r="BX187" s="181">
        <f t="shared" si="289"/>
        <v>0.86821859820785618</v>
      </c>
      <c r="BY187" s="6">
        <f t="shared" si="290"/>
        <v>86.821859820785619</v>
      </c>
      <c r="CB187" s="583">
        <f t="shared" si="319"/>
        <v>-50</v>
      </c>
      <c r="CC187">
        <f t="shared" si="320"/>
        <v>-50</v>
      </c>
    </row>
    <row r="188" spans="5:81" x14ac:dyDescent="0.2">
      <c r="E188" s="178">
        <v>78</v>
      </c>
      <c r="F188" s="225">
        <f t="shared" si="321"/>
        <v>0.23399999999999999</v>
      </c>
      <c r="G188" s="225"/>
      <c r="H188" s="225">
        <f t="shared" si="291"/>
        <v>3.51</v>
      </c>
      <c r="I188" s="561">
        <f t="shared" si="292"/>
        <v>7</v>
      </c>
      <c r="J188" s="456">
        <f t="shared" si="293"/>
        <v>12.904838817095861</v>
      </c>
      <c r="K188" s="456">
        <f t="shared" si="294"/>
        <v>22.25</v>
      </c>
      <c r="L188" s="456"/>
      <c r="M188" s="225">
        <f t="shared" si="295"/>
        <v>0.6853932584269663</v>
      </c>
      <c r="N188" s="180">
        <f t="shared" si="296"/>
        <v>3.1305337078651685</v>
      </c>
      <c r="O188" s="180">
        <f t="shared" si="236"/>
        <v>2.9612322832004314</v>
      </c>
      <c r="P188" s="225">
        <f t="shared" si="297"/>
        <v>0.20870224719101124</v>
      </c>
      <c r="Q188" s="225">
        <f t="shared" si="298"/>
        <v>13.378349178910977</v>
      </c>
      <c r="R188" s="225"/>
      <c r="S188" s="180">
        <f t="shared" si="299"/>
        <v>12.654838817095861</v>
      </c>
      <c r="T188" s="556">
        <f t="shared" si="300"/>
        <v>12.654838817095861</v>
      </c>
      <c r="U188" s="225">
        <f t="shared" si="301"/>
        <v>1.45</v>
      </c>
      <c r="V188" s="225">
        <f t="shared" si="302"/>
        <v>8.2857142857142847</v>
      </c>
      <c r="W188" s="225">
        <f t="shared" si="303"/>
        <v>4.4944381578143933</v>
      </c>
      <c r="X188" s="205">
        <f t="shared" si="304"/>
        <v>350</v>
      </c>
      <c r="Y188" s="456">
        <f t="shared" si="271"/>
        <v>78.246328001068349</v>
      </c>
      <c r="AA188" s="225">
        <f t="shared" si="305"/>
        <v>0.32416335886156877</v>
      </c>
      <c r="AB188" s="181">
        <f t="shared" si="306"/>
        <v>1.004780806505321</v>
      </c>
      <c r="AC188" s="181">
        <f t="shared" si="307"/>
        <v>5.6999796202370154E-2</v>
      </c>
      <c r="AD188" s="181"/>
      <c r="AE188" s="181">
        <f t="shared" si="308"/>
        <v>0.89888763156287876</v>
      </c>
      <c r="AF188" s="565">
        <f t="shared" si="309"/>
        <v>1795.3224038052504</v>
      </c>
      <c r="AG188" s="548">
        <f t="shared" si="310"/>
        <v>4.5618547301816102E-2</v>
      </c>
      <c r="AI188" s="181">
        <f t="shared" si="311"/>
        <v>0.65680311065911534</v>
      </c>
      <c r="AJ188" s="181">
        <f t="shared" si="312"/>
        <v>1.45</v>
      </c>
      <c r="AK188" s="181">
        <f t="shared" si="313"/>
        <v>2.0592592592592593</v>
      </c>
      <c r="AM188" s="565">
        <f t="shared" si="314"/>
        <v>234</v>
      </c>
      <c r="AN188" s="474">
        <f t="shared" si="315"/>
        <v>78.246328001068349</v>
      </c>
      <c r="AP188" t="str">
        <f t="shared" si="316"/>
        <v/>
      </c>
      <c r="AQ188" t="str">
        <f t="shared" si="317"/>
        <v/>
      </c>
      <c r="AS188" s="6">
        <f t="shared" si="237"/>
        <v>12.780152443528676</v>
      </c>
      <c r="AT188" s="6">
        <f t="shared" si="318"/>
        <v>8.2857142857142847</v>
      </c>
      <c r="AU188" s="6">
        <f t="shared" si="272"/>
        <v>4.4944381578143915</v>
      </c>
      <c r="AV188" s="6"/>
      <c r="AW188" s="181">
        <f t="shared" si="273"/>
        <v>0.64832671772313766</v>
      </c>
      <c r="AX188" s="181">
        <f t="shared" si="233"/>
        <v>3.2902580924449243</v>
      </c>
      <c r="AY188" s="181">
        <f t="shared" si="234"/>
        <v>0.25496312965072521</v>
      </c>
      <c r="AZ188" s="181">
        <f t="shared" si="238"/>
        <v>12.904838817095865</v>
      </c>
      <c r="BD188" s="181">
        <f t="shared" si="239"/>
        <v>0.67406896877913436</v>
      </c>
      <c r="BE188" s="181">
        <f t="shared" si="235"/>
        <v>0.49645176871713098</v>
      </c>
      <c r="BG188" s="548">
        <f t="shared" si="274"/>
        <v>0.15902914113483796</v>
      </c>
      <c r="BH188" s="548">
        <f t="shared" si="275"/>
        <v>2.5244221571344674E-2</v>
      </c>
      <c r="BI188" s="548">
        <f t="shared" si="276"/>
        <v>9.7807910001335434E-4</v>
      </c>
      <c r="BJ188" s="548">
        <f t="shared" si="277"/>
        <v>2.2273673084716615E-3</v>
      </c>
      <c r="BK188">
        <f t="shared" si="278"/>
        <v>2.0300000000000001E-3</v>
      </c>
      <c r="BL188" s="474">
        <f t="shared" si="279"/>
        <v>189.50880911466766</v>
      </c>
      <c r="BM188" s="548">
        <f t="shared" si="280"/>
        <v>8.1899999999999987E-2</v>
      </c>
      <c r="BP188" s="474">
        <f t="shared" si="281"/>
        <v>81.899999999999991</v>
      </c>
      <c r="BQ188" s="548">
        <f t="shared" si="282"/>
        <v>0</v>
      </c>
      <c r="BR188" s="548">
        <f t="shared" si="283"/>
        <v>0</v>
      </c>
      <c r="BS188" s="548">
        <f t="shared" si="284"/>
        <v>6.8556703151438801E-3</v>
      </c>
      <c r="BT188" s="548">
        <f t="shared" si="285"/>
        <v>0.17273854985335854</v>
      </c>
      <c r="BU188" s="474">
        <f t="shared" si="286"/>
        <v>179.59422016850243</v>
      </c>
      <c r="BV188" s="181">
        <f t="shared" si="287"/>
        <v>0.45100302928317004</v>
      </c>
      <c r="BW188" s="6">
        <f t="shared" si="288"/>
        <v>2.9612322832004314</v>
      </c>
      <c r="BX188" s="181">
        <f t="shared" si="289"/>
        <v>0.86782768830942469</v>
      </c>
      <c r="BY188" s="6">
        <f t="shared" si="290"/>
        <v>86.782768830942473</v>
      </c>
      <c r="CB188" s="583">
        <f t="shared" si="319"/>
        <v>-50</v>
      </c>
      <c r="CC188">
        <f t="shared" si="320"/>
        <v>-50</v>
      </c>
    </row>
    <row r="189" spans="5:81" x14ac:dyDescent="0.2">
      <c r="E189" s="178">
        <v>79</v>
      </c>
      <c r="F189" s="225">
        <f t="shared" si="321"/>
        <v>0.23699999999999999</v>
      </c>
      <c r="G189" s="225"/>
      <c r="H189" s="225">
        <f t="shared" si="291"/>
        <v>3.5549999999999997</v>
      </c>
      <c r="I189" s="561">
        <f t="shared" si="292"/>
        <v>7</v>
      </c>
      <c r="J189" s="456">
        <f t="shared" si="293"/>
        <v>12.660378414772442</v>
      </c>
      <c r="K189" s="456">
        <f t="shared" si="294"/>
        <v>22.25</v>
      </c>
      <c r="L189" s="456"/>
      <c r="M189" s="225">
        <f t="shared" si="295"/>
        <v>0.6853932584269663</v>
      </c>
      <c r="N189" s="180">
        <f t="shared" si="296"/>
        <v>3.1305337078651685</v>
      </c>
      <c r="O189" s="180">
        <f t="shared" si="236"/>
        <v>2.9412596843010688</v>
      </c>
      <c r="P189" s="225">
        <f t="shared" si="297"/>
        <v>0.20870224719101124</v>
      </c>
      <c r="Q189" s="225">
        <f t="shared" si="298"/>
        <v>13.209002986772864</v>
      </c>
      <c r="R189" s="225"/>
      <c r="S189" s="180">
        <f t="shared" si="299"/>
        <v>12.410378414772442</v>
      </c>
      <c r="T189" s="556">
        <f t="shared" si="300"/>
        <v>12.410378414772442</v>
      </c>
      <c r="U189" s="225">
        <f t="shared" si="301"/>
        <v>1.45</v>
      </c>
      <c r="V189" s="225">
        <f t="shared" si="302"/>
        <v>8.2857142857142847</v>
      </c>
      <c r="W189" s="225">
        <f t="shared" si="303"/>
        <v>4.581221674410946</v>
      </c>
      <c r="X189" s="205">
        <f t="shared" si="304"/>
        <v>350</v>
      </c>
      <c r="Y189" s="456">
        <f t="shared" si="271"/>
        <v>77.718580639478617</v>
      </c>
      <c r="AA189" s="225">
        <f t="shared" si="305"/>
        <v>0.32197697693498284</v>
      </c>
      <c r="AB189" s="181">
        <f t="shared" si="306"/>
        <v>1.017274417514384</v>
      </c>
      <c r="AC189" s="181">
        <f t="shared" si="307"/>
        <v>5.7319314791300958E-2</v>
      </c>
      <c r="AD189" s="181"/>
      <c r="AE189" s="181">
        <f t="shared" si="308"/>
        <v>0.91624433488218915</v>
      </c>
      <c r="AF189" s="565">
        <f t="shared" si="309"/>
        <v>1783.8939859102668</v>
      </c>
      <c r="AG189" s="548">
        <f t="shared" si="310"/>
        <v>4.6499399995271092E-2</v>
      </c>
      <c r="AI189" s="181">
        <f t="shared" si="311"/>
        <v>0.65470927946260116</v>
      </c>
      <c r="AJ189" s="181">
        <f t="shared" si="312"/>
        <v>1.45</v>
      </c>
      <c r="AK189" s="181">
        <f t="shared" si="313"/>
        <v>2.0592592592592593</v>
      </c>
      <c r="AM189" s="565">
        <f t="shared" si="314"/>
        <v>237</v>
      </c>
      <c r="AN189" s="474">
        <f t="shared" si="315"/>
        <v>77.718580639478617</v>
      </c>
      <c r="AP189" t="str">
        <f t="shared" si="316"/>
        <v/>
      </c>
      <c r="AQ189" t="str">
        <f t="shared" si="317"/>
        <v/>
      </c>
      <c r="AS189" s="6">
        <f t="shared" si="237"/>
        <v>12.866935960125231</v>
      </c>
      <c r="AT189" s="6">
        <f t="shared" si="318"/>
        <v>8.2857142857142847</v>
      </c>
      <c r="AU189" s="6">
        <f t="shared" si="272"/>
        <v>4.581221674410946</v>
      </c>
      <c r="AV189" s="6"/>
      <c r="AW189" s="181">
        <f t="shared" si="273"/>
        <v>0.64395395386996568</v>
      </c>
      <c r="AX189" s="181">
        <f t="shared" si="233"/>
        <v>3.2680663158900765</v>
      </c>
      <c r="AY189" s="181">
        <f t="shared" si="234"/>
        <v>0.25813338344427489</v>
      </c>
      <c r="AZ189" s="181">
        <f t="shared" si="238"/>
        <v>12.660378414772444</v>
      </c>
      <c r="BD189" s="181">
        <f t="shared" si="239"/>
        <v>0.67179192909997631</v>
      </c>
      <c r="BE189" s="181">
        <f t="shared" si="235"/>
        <v>0.49952871522012199</v>
      </c>
      <c r="BG189" s="548">
        <f t="shared" si="274"/>
        <v>0.15795653860135367</v>
      </c>
      <c r="BH189" s="548">
        <f t="shared" si="275"/>
        <v>2.5073957078811788E-2</v>
      </c>
      <c r="BI189" s="548">
        <f t="shared" si="276"/>
        <v>9.7148225799348266E-4</v>
      </c>
      <c r="BJ189" s="548">
        <f t="shared" si="277"/>
        <v>2.212344402600333E-3</v>
      </c>
      <c r="BK189">
        <f t="shared" si="278"/>
        <v>2.0300000000000001E-3</v>
      </c>
      <c r="BL189" s="474">
        <f t="shared" si="279"/>
        <v>188.24432234075931</v>
      </c>
      <c r="BM189" s="548">
        <f t="shared" si="280"/>
        <v>8.2949999999999996E-2</v>
      </c>
      <c r="BP189" s="474">
        <f t="shared" si="281"/>
        <v>82.95</v>
      </c>
      <c r="BQ189" s="548">
        <f t="shared" si="282"/>
        <v>0</v>
      </c>
      <c r="BR189" s="548">
        <f t="shared" si="283"/>
        <v>0</v>
      </c>
      <c r="BS189" s="548">
        <f t="shared" si="284"/>
        <v>6.7406559569803308E-3</v>
      </c>
      <c r="BT189" s="548">
        <f t="shared" si="285"/>
        <v>0.17157348158422903</v>
      </c>
      <c r="BU189" s="474">
        <f t="shared" si="286"/>
        <v>178.31413754120936</v>
      </c>
      <c r="BV189" s="181">
        <f t="shared" si="287"/>
        <v>0.44950845988196864</v>
      </c>
      <c r="BW189" s="6">
        <f t="shared" si="288"/>
        <v>2.9412596843010688</v>
      </c>
      <c r="BX189" s="181">
        <f t="shared" si="289"/>
        <v>0.86743167306997571</v>
      </c>
      <c r="BY189" s="6">
        <f t="shared" si="290"/>
        <v>86.743167306997577</v>
      </c>
      <c r="CB189" s="583">
        <f t="shared" si="319"/>
        <v>-50</v>
      </c>
      <c r="CC189">
        <f t="shared" si="320"/>
        <v>-50</v>
      </c>
    </row>
    <row r="190" spans="5:81" x14ac:dyDescent="0.2">
      <c r="E190" s="178">
        <v>80</v>
      </c>
      <c r="F190" s="225">
        <f t="shared" si="321"/>
        <v>0.24</v>
      </c>
      <c r="G190" s="225"/>
      <c r="H190" s="225">
        <f t="shared" si="291"/>
        <v>3.5999999999999996</v>
      </c>
      <c r="I190" s="561">
        <f t="shared" si="292"/>
        <v>7</v>
      </c>
      <c r="J190" s="456">
        <f t="shared" si="293"/>
        <v>12.422127637954157</v>
      </c>
      <c r="K190" s="456">
        <f t="shared" si="294"/>
        <v>22.25</v>
      </c>
      <c r="L190" s="456"/>
      <c r="M190" s="225">
        <f t="shared" si="295"/>
        <v>0.6853932584269663</v>
      </c>
      <c r="N190" s="180">
        <f t="shared" si="296"/>
        <v>3.1305337078651685</v>
      </c>
      <c r="O190" s="180">
        <f t="shared" si="236"/>
        <v>2.9213106331089973</v>
      </c>
      <c r="P190" s="225">
        <f t="shared" si="297"/>
        <v>0.20870224719101124</v>
      </c>
      <c r="Q190" s="225">
        <f t="shared" si="298"/>
        <v>13.043890449438203</v>
      </c>
      <c r="R190" s="225"/>
      <c r="S190" s="180">
        <f t="shared" si="299"/>
        <v>12.172127637954157</v>
      </c>
      <c r="T190" s="556">
        <f t="shared" si="300"/>
        <v>12.172127637954157</v>
      </c>
      <c r="U190" s="225">
        <f t="shared" si="301"/>
        <v>1.45</v>
      </c>
      <c r="V190" s="225">
        <f t="shared" si="302"/>
        <v>8.2857142857142847</v>
      </c>
      <c r="W190" s="225">
        <f t="shared" si="303"/>
        <v>4.6690874293376865</v>
      </c>
      <c r="X190" s="205">
        <f t="shared" si="304"/>
        <v>350</v>
      </c>
      <c r="Y190" s="456">
        <f t="shared" si="271"/>
        <v>77.191455492376733</v>
      </c>
      <c r="AA190" s="225">
        <f t="shared" si="305"/>
        <v>0.31979317275413216</v>
      </c>
      <c r="AB190" s="181">
        <f t="shared" si="306"/>
        <v>1.0297532985478164</v>
      </c>
      <c r="AC190" s="181">
        <f t="shared" si="307"/>
        <v>5.7628913036911873E-2</v>
      </c>
      <c r="AD190" s="181"/>
      <c r="AE190" s="181">
        <f t="shared" si="308"/>
        <v>0.93381748586753732</v>
      </c>
      <c r="AF190" s="565">
        <f t="shared" si="309"/>
        <v>1772.4795678412588</v>
      </c>
      <c r="AG190" s="548">
        <f t="shared" si="310"/>
        <v>4.7391237407777523E-2</v>
      </c>
      <c r="AI190" s="181">
        <f t="shared" si="311"/>
        <v>0.65261130775950482</v>
      </c>
      <c r="AJ190" s="181">
        <f t="shared" si="312"/>
        <v>1.45</v>
      </c>
      <c r="AK190" s="181">
        <f t="shared" si="313"/>
        <v>2.0592592592592593</v>
      </c>
      <c r="AM190" s="565">
        <f t="shared" si="314"/>
        <v>240</v>
      </c>
      <c r="AN190" s="474">
        <f t="shared" si="315"/>
        <v>77.191455492376733</v>
      </c>
      <c r="AP190" t="str">
        <f t="shared" si="316"/>
        <v/>
      </c>
      <c r="AQ190" t="str">
        <f t="shared" si="317"/>
        <v/>
      </c>
      <c r="AS190" s="6">
        <f t="shared" si="237"/>
        <v>12.954801715051971</v>
      </c>
      <c r="AT190" s="6">
        <f t="shared" si="318"/>
        <v>8.2857142857142847</v>
      </c>
      <c r="AU190" s="6">
        <f t="shared" si="272"/>
        <v>4.6690874293376865</v>
      </c>
      <c r="AV190" s="6"/>
      <c r="AW190" s="181">
        <f t="shared" si="273"/>
        <v>0.63958634550826432</v>
      </c>
      <c r="AX190" s="181">
        <f t="shared" si="233"/>
        <v>3.245900703454442</v>
      </c>
      <c r="AY190" s="181">
        <f t="shared" si="234"/>
        <v>0.26129989950650834</v>
      </c>
      <c r="AZ190" s="181">
        <f t="shared" si="238"/>
        <v>12.42212763795416</v>
      </c>
      <c r="BD190" s="181">
        <f t="shared" si="239"/>
        <v>0.66950984345044695</v>
      </c>
      <c r="BE190" s="181">
        <f t="shared" si="235"/>
        <v>0.50258322978019421</v>
      </c>
      <c r="BG190" s="548">
        <f t="shared" si="274"/>
        <v>0.15688520066696468</v>
      </c>
      <c r="BH190" s="548">
        <f t="shared" si="275"/>
        <v>2.4903893328228045E-2</v>
      </c>
      <c r="BI190" s="548">
        <f t="shared" si="276"/>
        <v>9.6489319365470911E-4</v>
      </c>
      <c r="BJ190" s="548">
        <f t="shared" si="277"/>
        <v>2.197339208744948E-3</v>
      </c>
      <c r="BK190">
        <f t="shared" si="278"/>
        <v>2.0300000000000001E-3</v>
      </c>
      <c r="BL190" s="474">
        <f t="shared" si="279"/>
        <v>186.98132639759237</v>
      </c>
      <c r="BM190" s="548">
        <f t="shared" si="280"/>
        <v>8.3999999999999991E-2</v>
      </c>
      <c r="BP190" s="474">
        <f t="shared" si="281"/>
        <v>83.999999999999986</v>
      </c>
      <c r="BQ190" s="548">
        <f t="shared" si="282"/>
        <v>0</v>
      </c>
      <c r="BR190" s="548">
        <f t="shared" si="283"/>
        <v>0</v>
      </c>
      <c r="BS190" s="548">
        <f t="shared" si="284"/>
        <v>6.6269407040274583E-3</v>
      </c>
      <c r="BT190" s="548">
        <f t="shared" si="285"/>
        <v>0.17040978693135822</v>
      </c>
      <c r="BU190" s="474">
        <f t="shared" si="286"/>
        <v>177.03672763538566</v>
      </c>
      <c r="BV190" s="181">
        <f t="shared" si="287"/>
        <v>0.44801805403297806</v>
      </c>
      <c r="BW190" s="6">
        <f t="shared" si="288"/>
        <v>2.9213106331089973</v>
      </c>
      <c r="BX190" s="181">
        <f t="shared" si="289"/>
        <v>0.86703046938023487</v>
      </c>
      <c r="BY190" s="6">
        <f t="shared" si="290"/>
        <v>86.70304693802349</v>
      </c>
      <c r="CB190" s="583">
        <f t="shared" si="319"/>
        <v>-50</v>
      </c>
      <c r="CC190">
        <f t="shared" si="320"/>
        <v>-50</v>
      </c>
    </row>
    <row r="191" spans="5:81" x14ac:dyDescent="0.2">
      <c r="E191" s="178">
        <v>81</v>
      </c>
      <c r="F191" s="225">
        <f t="shared" si="321"/>
        <v>0.24299999999999999</v>
      </c>
      <c r="G191" s="225"/>
      <c r="H191" s="225">
        <f t="shared" si="291"/>
        <v>3.645</v>
      </c>
      <c r="I191" s="561">
        <f t="shared" si="292"/>
        <v>7</v>
      </c>
      <c r="J191" s="456">
        <f t="shared" si="293"/>
        <v>12.189858260885774</v>
      </c>
      <c r="K191" s="456">
        <f t="shared" si="294"/>
        <v>22.25</v>
      </c>
      <c r="L191" s="456"/>
      <c r="M191" s="225">
        <f t="shared" si="295"/>
        <v>0.6853932584269663</v>
      </c>
      <c r="N191" s="180">
        <f t="shared" si="296"/>
        <v>3.1305337078651685</v>
      </c>
      <c r="O191" s="180">
        <f t="shared" si="236"/>
        <v>2.9013855573952432</v>
      </c>
      <c r="P191" s="225">
        <f t="shared" si="297"/>
        <v>0.20870224719101124</v>
      </c>
      <c r="Q191" s="225">
        <f t="shared" si="298"/>
        <v>12.882854764877237</v>
      </c>
      <c r="R191" s="225"/>
      <c r="S191" s="180">
        <f t="shared" si="299"/>
        <v>11.939858260885774</v>
      </c>
      <c r="T191" s="556">
        <f t="shared" si="300"/>
        <v>11.939858260885774</v>
      </c>
      <c r="U191" s="225">
        <f t="shared" si="301"/>
        <v>1.45</v>
      </c>
      <c r="V191" s="225">
        <f t="shared" si="302"/>
        <v>8.2857142857142847</v>
      </c>
      <c r="W191" s="225">
        <f t="shared" si="303"/>
        <v>4.7580536835368781</v>
      </c>
      <c r="X191" s="205">
        <f t="shared" si="304"/>
        <v>350</v>
      </c>
      <c r="Y191" s="456">
        <f t="shared" si="271"/>
        <v>76.664963863000196</v>
      </c>
      <c r="AA191" s="225">
        <f t="shared" si="305"/>
        <v>0.31761199314671512</v>
      </c>
      <c r="AB191" s="181">
        <f t="shared" si="306"/>
        <v>1.0422171820187707</v>
      </c>
      <c r="AC191" s="181">
        <f t="shared" si="307"/>
        <v>5.7928618382728544E-2</v>
      </c>
      <c r="AD191" s="181"/>
      <c r="AE191" s="181">
        <f t="shared" si="308"/>
        <v>0.95161073670737562</v>
      </c>
      <c r="AF191" s="565">
        <f t="shared" si="309"/>
        <v>1761.0794039210721</v>
      </c>
      <c r="AG191" s="548">
        <f t="shared" si="310"/>
        <v>4.829424488789931E-2</v>
      </c>
      <c r="AI191" s="181">
        <f t="shared" si="311"/>
        <v>0.65050920245991495</v>
      </c>
      <c r="AJ191" s="181">
        <f t="shared" si="312"/>
        <v>1.45</v>
      </c>
      <c r="AK191" s="181">
        <f t="shared" si="313"/>
        <v>2.0592592592592593</v>
      </c>
      <c r="AM191" s="565">
        <f t="shared" si="314"/>
        <v>243</v>
      </c>
      <c r="AN191" s="474">
        <f t="shared" si="315"/>
        <v>76.664963863000196</v>
      </c>
      <c r="AP191" t="str">
        <f t="shared" si="316"/>
        <v/>
      </c>
      <c r="AQ191" t="str">
        <f t="shared" si="317"/>
        <v/>
      </c>
      <c r="AS191" s="6">
        <f t="shared" si="237"/>
        <v>13.043767969251165</v>
      </c>
      <c r="AT191" s="6">
        <f t="shared" si="318"/>
        <v>8.2857142857142847</v>
      </c>
      <c r="AU191" s="6">
        <f t="shared" si="272"/>
        <v>4.7580536835368807</v>
      </c>
      <c r="AV191" s="6"/>
      <c r="AW191" s="181">
        <f t="shared" si="273"/>
        <v>0.63522398629343013</v>
      </c>
      <c r="AX191" s="181">
        <f t="shared" si="233"/>
        <v>3.2237617304391586</v>
      </c>
      <c r="AY191" s="181">
        <f t="shared" si="234"/>
        <v>0.26446260993726317</v>
      </c>
      <c r="AZ191" s="181">
        <f t="shared" si="238"/>
        <v>12.189858260885771</v>
      </c>
      <c r="BD191" s="181">
        <f t="shared" si="239"/>
        <v>0.66722270924130889</v>
      </c>
      <c r="BE191" s="181">
        <f t="shared" si="235"/>
        <v>0.50561565403577158</v>
      </c>
      <c r="BG191" s="548">
        <f t="shared" si="274"/>
        <v>0.15581515030455928</v>
      </c>
      <c r="BH191" s="548">
        <f t="shared" si="275"/>
        <v>2.4734033966300438E-2</v>
      </c>
      <c r="BI191" s="548">
        <f t="shared" si="276"/>
        <v>9.5831204828750237E-4</v>
      </c>
      <c r="BJ191" s="548">
        <f t="shared" si="277"/>
        <v>2.1823520486645254E-3</v>
      </c>
      <c r="BK191">
        <f t="shared" si="278"/>
        <v>2.0300000000000001E-3</v>
      </c>
      <c r="BL191" s="474">
        <f t="shared" si="279"/>
        <v>185.71984836781175</v>
      </c>
      <c r="BM191" s="548">
        <f t="shared" si="280"/>
        <v>8.5049999999999987E-2</v>
      </c>
      <c r="BP191" s="474">
        <f t="shared" si="281"/>
        <v>85.049999999999983</v>
      </c>
      <c r="BQ191" s="548">
        <f t="shared" si="282"/>
        <v>0</v>
      </c>
      <c r="BR191" s="548">
        <f t="shared" si="283"/>
        <v>0</v>
      </c>
      <c r="BS191" s="548">
        <f t="shared" si="284"/>
        <v>6.5145188966296659E-3</v>
      </c>
      <c r="BT191" s="548">
        <f t="shared" si="285"/>
        <v>0.16924749084805582</v>
      </c>
      <c r="BU191" s="474">
        <f t="shared" si="286"/>
        <v>175.76200974468549</v>
      </c>
      <c r="BV191" s="181">
        <f t="shared" si="287"/>
        <v>0.44653185811249718</v>
      </c>
      <c r="BW191" s="6">
        <f t="shared" si="288"/>
        <v>2.9013855573952432</v>
      </c>
      <c r="BX191" s="181">
        <f t="shared" si="289"/>
        <v>0.86662399256202172</v>
      </c>
      <c r="BY191" s="6">
        <f t="shared" si="290"/>
        <v>86.662399256202178</v>
      </c>
      <c r="CB191" s="583">
        <f t="shared" si="319"/>
        <v>-50</v>
      </c>
      <c r="CC191">
        <f t="shared" si="320"/>
        <v>-50</v>
      </c>
    </row>
    <row r="192" spans="5:81" x14ac:dyDescent="0.2">
      <c r="E192" s="178">
        <v>82</v>
      </c>
      <c r="F192" s="225">
        <f t="shared" si="321"/>
        <v>0.24599999999999997</v>
      </c>
      <c r="G192" s="225"/>
      <c r="H192" s="225">
        <f t="shared" si="291"/>
        <v>3.6899999999999995</v>
      </c>
      <c r="I192" s="561">
        <f t="shared" si="292"/>
        <v>7</v>
      </c>
      <c r="J192" s="456">
        <f t="shared" si="293"/>
        <v>11.96335322838708</v>
      </c>
      <c r="K192" s="456">
        <f t="shared" si="294"/>
        <v>22.25</v>
      </c>
      <c r="L192" s="456"/>
      <c r="M192" s="225">
        <f t="shared" si="295"/>
        <v>0.6853932584269663</v>
      </c>
      <c r="N192" s="180">
        <f t="shared" si="296"/>
        <v>3.1305337078651685</v>
      </c>
      <c r="O192" s="180">
        <f t="shared" si="236"/>
        <v>2.8814848941832212</v>
      </c>
      <c r="P192" s="225">
        <f t="shared" si="297"/>
        <v>0.20870224719101124</v>
      </c>
      <c r="Q192" s="225">
        <f t="shared" si="298"/>
        <v>12.72574677993971</v>
      </c>
      <c r="R192" s="225"/>
      <c r="S192" s="180">
        <f t="shared" si="299"/>
        <v>11.71335322838708</v>
      </c>
      <c r="T192" s="556">
        <f t="shared" si="300"/>
        <v>11.71335322838708</v>
      </c>
      <c r="U192" s="225">
        <f t="shared" si="301"/>
        <v>1.45</v>
      </c>
      <c r="V192" s="225">
        <f t="shared" si="302"/>
        <v>8.2857142857142847</v>
      </c>
      <c r="W192" s="225">
        <f t="shared" si="303"/>
        <v>4.8481390537207822</v>
      </c>
      <c r="X192" s="205">
        <f t="shared" si="304"/>
        <v>350</v>
      </c>
      <c r="Y192" s="456">
        <f t="shared" si="271"/>
        <v>76.139117299067806</v>
      </c>
      <c r="AA192" s="225">
        <f t="shared" si="305"/>
        <v>0.31543348595328086</v>
      </c>
      <c r="AB192" s="181">
        <f t="shared" si="306"/>
        <v>1.0546657945526805</v>
      </c>
      <c r="AC192" s="181">
        <f t="shared" si="307"/>
        <v>5.8218458916001782E-2</v>
      </c>
      <c r="AD192" s="181"/>
      <c r="AE192" s="181">
        <f t="shared" si="308"/>
        <v>0.96962781074415638</v>
      </c>
      <c r="AF192" s="565">
        <f t="shared" si="309"/>
        <v>1749.6937539733776</v>
      </c>
      <c r="AG192" s="548">
        <f t="shared" si="310"/>
        <v>4.9208611395265937E-2</v>
      </c>
      <c r="AI192" s="181">
        <f t="shared" si="311"/>
        <v>0.64840297150363668</v>
      </c>
      <c r="AJ192" s="181">
        <f t="shared" si="312"/>
        <v>1.45</v>
      </c>
      <c r="AK192" s="181">
        <f t="shared" si="313"/>
        <v>2.0592592592592593</v>
      </c>
      <c r="AM192" s="565">
        <f t="shared" si="314"/>
        <v>245.99999999999997</v>
      </c>
      <c r="AN192" s="474">
        <f t="shared" si="315"/>
        <v>76.139117299067806</v>
      </c>
      <c r="AP192" t="str">
        <f t="shared" si="316"/>
        <v/>
      </c>
      <c r="AQ192" t="str">
        <f t="shared" si="317"/>
        <v/>
      </c>
      <c r="AS192" s="6">
        <f t="shared" si="237"/>
        <v>13.133853339435067</v>
      </c>
      <c r="AT192" s="6">
        <f t="shared" si="318"/>
        <v>8.2857142857142847</v>
      </c>
      <c r="AU192" s="6">
        <f t="shared" si="272"/>
        <v>4.8481390537207822</v>
      </c>
      <c r="AV192" s="6"/>
      <c r="AW192" s="181">
        <f t="shared" si="273"/>
        <v>0.63086697190656171</v>
      </c>
      <c r="AX192" s="181">
        <f t="shared" si="233"/>
        <v>3.2016498824258015</v>
      </c>
      <c r="AY192" s="181">
        <f t="shared" si="234"/>
        <v>0.26762144536774274</v>
      </c>
      <c r="AZ192" s="181">
        <f t="shared" si="238"/>
        <v>11.96335322838708</v>
      </c>
      <c r="BD192" s="181">
        <f t="shared" si="239"/>
        <v>0.66493052480028458</v>
      </c>
      <c r="BE192" s="181">
        <f t="shared" si="235"/>
        <v>0.50862631717416207</v>
      </c>
      <c r="BG192" s="548">
        <f t="shared" si="274"/>
        <v>0.15474641098391365</v>
      </c>
      <c r="BH192" s="548">
        <f t="shared" si="275"/>
        <v>2.4564382718611746E-2</v>
      </c>
      <c r="BI192" s="548">
        <f t="shared" si="276"/>
        <v>9.5173896623834751E-4</v>
      </c>
      <c r="BJ192" s="548">
        <f t="shared" si="277"/>
        <v>2.1673832510775109E-3</v>
      </c>
      <c r="BK192">
        <f t="shared" si="278"/>
        <v>2.0300000000000001E-3</v>
      </c>
      <c r="BL192" s="474">
        <f t="shared" si="279"/>
        <v>184.45991591984125</v>
      </c>
      <c r="BM192" s="548">
        <f t="shared" si="280"/>
        <v>8.6099999999999982E-2</v>
      </c>
      <c r="BP192" s="474">
        <f t="shared" si="281"/>
        <v>86.09999999999998</v>
      </c>
      <c r="BQ192" s="548">
        <f t="shared" si="282"/>
        <v>0</v>
      </c>
      <c r="BR192" s="548">
        <f t="shared" si="283"/>
        <v>0</v>
      </c>
      <c r="BS192" s="548">
        <f t="shared" si="284"/>
        <v>6.4033848472375325E-3</v>
      </c>
      <c r="BT192" s="548">
        <f t="shared" si="285"/>
        <v>0.16808661882735459</v>
      </c>
      <c r="BU192" s="474">
        <f t="shared" si="286"/>
        <v>174.49000367459215</v>
      </c>
      <c r="BV192" s="181">
        <f t="shared" si="287"/>
        <v>0.44504991959443335</v>
      </c>
      <c r="BW192" s="6">
        <f t="shared" si="288"/>
        <v>2.8814848941832212</v>
      </c>
      <c r="BX192" s="181">
        <f t="shared" si="289"/>
        <v>0.86621215634024007</v>
      </c>
      <c r="BY192" s="6">
        <f t="shared" si="290"/>
        <v>86.621215634024011</v>
      </c>
      <c r="CB192" s="583">
        <f t="shared" si="319"/>
        <v>-50</v>
      </c>
      <c r="CC192">
        <f t="shared" si="320"/>
        <v>-50</v>
      </c>
    </row>
    <row r="193" spans="5:81" x14ac:dyDescent="0.2">
      <c r="E193" s="178">
        <v>83</v>
      </c>
      <c r="F193" s="225">
        <f t="shared" si="321"/>
        <v>0.24899999999999997</v>
      </c>
      <c r="G193" s="225"/>
      <c r="H193" s="225">
        <f t="shared" si="291"/>
        <v>3.7349999999999994</v>
      </c>
      <c r="I193" s="561">
        <f t="shared" si="292"/>
        <v>7</v>
      </c>
      <c r="J193" s="456">
        <f t="shared" si="293"/>
        <v>11.742405983775527</v>
      </c>
      <c r="K193" s="456">
        <f t="shared" si="294"/>
        <v>22.25</v>
      </c>
      <c r="L193" s="456"/>
      <c r="M193" s="225">
        <f t="shared" si="295"/>
        <v>0.6853932584269663</v>
      </c>
      <c r="N193" s="180">
        <f t="shared" si="296"/>
        <v>3.1305337078651685</v>
      </c>
      <c r="O193" s="180">
        <f t="shared" si="236"/>
        <v>2.8616090899601057</v>
      </c>
      <c r="P193" s="225">
        <f t="shared" si="297"/>
        <v>0.20870224719101124</v>
      </c>
      <c r="Q193" s="225">
        <f t="shared" si="298"/>
        <v>12.572424529578992</v>
      </c>
      <c r="R193" s="225"/>
      <c r="S193" s="180">
        <f t="shared" si="299"/>
        <v>11.492405983775527</v>
      </c>
      <c r="T193" s="556">
        <f t="shared" si="300"/>
        <v>11.492405983775527</v>
      </c>
      <c r="U193" s="225">
        <f t="shared" si="301"/>
        <v>1.45</v>
      </c>
      <c r="V193" s="225">
        <f t="shared" si="302"/>
        <v>8.2857142857142847</v>
      </c>
      <c r="W193" s="225">
        <f t="shared" si="303"/>
        <v>4.9393625190730548</v>
      </c>
      <c r="X193" s="205">
        <f t="shared" si="304"/>
        <v>350</v>
      </c>
      <c r="Y193" s="456">
        <f t="shared" si="271"/>
        <v>75.61392759836454</v>
      </c>
      <c r="AA193" s="225">
        <f t="shared" si="305"/>
        <v>0.31325770005036729</v>
      </c>
      <c r="AB193" s="181">
        <f t="shared" si="306"/>
        <v>1.0670988568550439</v>
      </c>
      <c r="AC193" s="181">
        <f t="shared" si="307"/>
        <v>5.8498463384337757E-2</v>
      </c>
      <c r="AD193" s="181"/>
      <c r="AE193" s="181">
        <f t="shared" si="308"/>
        <v>0.98787250381461111</v>
      </c>
      <c r="AF193" s="565">
        <f t="shared" si="309"/>
        <v>1738.3228834483389</v>
      </c>
      <c r="AG193" s="548">
        <f t="shared" si="310"/>
        <v>5.0134529568591504E-2</v>
      </c>
      <c r="AI193" s="181">
        <f t="shared" si="311"/>
        <v>0.64629262390080433</v>
      </c>
      <c r="AJ193" s="181">
        <f t="shared" si="312"/>
        <v>1.45</v>
      </c>
      <c r="AK193" s="181">
        <f t="shared" si="313"/>
        <v>2.0592592592592593</v>
      </c>
      <c r="AM193" s="565">
        <f t="shared" si="314"/>
        <v>248.99999999999997</v>
      </c>
      <c r="AN193" s="474">
        <f t="shared" si="315"/>
        <v>75.61392759836454</v>
      </c>
      <c r="AP193" t="str">
        <f t="shared" si="316"/>
        <v/>
      </c>
      <c r="AQ193" t="str">
        <f t="shared" si="317"/>
        <v/>
      </c>
      <c r="AS193" s="6">
        <f t="shared" si="237"/>
        <v>13.225076804787339</v>
      </c>
      <c r="AT193" s="6">
        <f t="shared" si="318"/>
        <v>8.2857142857142847</v>
      </c>
      <c r="AU193" s="6">
        <f t="shared" si="272"/>
        <v>4.9393625190730539</v>
      </c>
      <c r="AV193" s="6"/>
      <c r="AW193" s="181">
        <f t="shared" si="273"/>
        <v>0.62651540010073459</v>
      </c>
      <c r="AX193" s="181">
        <f t="shared" si="233"/>
        <v>3.179565655511229</v>
      </c>
      <c r="AY193" s="181">
        <f t="shared" si="234"/>
        <v>0.2707763349269674</v>
      </c>
      <c r="AZ193" s="181">
        <f t="shared" si="238"/>
        <v>11.74240598377553</v>
      </c>
      <c r="BD193" s="181">
        <f t="shared" si="239"/>
        <v>0.66263328941222444</v>
      </c>
      <c r="BE193" s="181">
        <f t="shared" si="235"/>
        <v>0.51161553640997703</v>
      </c>
      <c r="BG193" s="548">
        <f t="shared" si="274"/>
        <v>0.15367900668304266</v>
      </c>
      <c r="BH193" s="548">
        <f t="shared" si="275"/>
        <v>2.4394943391422359E-2</v>
      </c>
      <c r="BI193" s="548">
        <f t="shared" si="276"/>
        <v>9.4517409497955668E-4</v>
      </c>
      <c r="BJ193" s="548">
        <f t="shared" si="277"/>
        <v>2.152433151820757E-3</v>
      </c>
      <c r="BK193">
        <f t="shared" si="278"/>
        <v>2.0300000000000001E-3</v>
      </c>
      <c r="BL193" s="474">
        <f t="shared" si="279"/>
        <v>183.20155732126534</v>
      </c>
      <c r="BM193" s="548">
        <f t="shared" si="280"/>
        <v>8.7149999999999991E-2</v>
      </c>
      <c r="BP193" s="474">
        <f t="shared" si="281"/>
        <v>87.149999999999991</v>
      </c>
      <c r="BQ193" s="548">
        <f t="shared" si="282"/>
        <v>0</v>
      </c>
      <c r="BR193" s="548">
        <f t="shared" si="283"/>
        <v>0</v>
      </c>
      <c r="BS193" s="548">
        <f t="shared" si="284"/>
        <v>6.2935328400020472E-3</v>
      </c>
      <c r="BT193" s="548">
        <f t="shared" si="285"/>
        <v>0.16692719691433955</v>
      </c>
      <c r="BU193" s="474">
        <f t="shared" si="286"/>
        <v>173.22072975434162</v>
      </c>
      <c r="BV193" s="181">
        <f t="shared" si="287"/>
        <v>0.44357228707560692</v>
      </c>
      <c r="BW193" s="6">
        <f t="shared" si="288"/>
        <v>2.8616090899601057</v>
      </c>
      <c r="BX193" s="181">
        <f t="shared" si="289"/>
        <v>0.8657948728146867</v>
      </c>
      <c r="BY193" s="6">
        <f t="shared" si="290"/>
        <v>86.579487281468673</v>
      </c>
      <c r="CB193" s="583">
        <f t="shared" si="319"/>
        <v>-50</v>
      </c>
      <c r="CC193">
        <f t="shared" si="320"/>
        <v>-50</v>
      </c>
    </row>
    <row r="194" spans="5:81" x14ac:dyDescent="0.2">
      <c r="E194" s="178">
        <v>84</v>
      </c>
      <c r="F194" s="225">
        <f t="shared" si="321"/>
        <v>0.252</v>
      </c>
      <c r="G194" s="225"/>
      <c r="H194" s="225">
        <f t="shared" si="291"/>
        <v>3.7800000000000002</v>
      </c>
      <c r="I194" s="561">
        <f t="shared" si="292"/>
        <v>7</v>
      </c>
      <c r="J194" s="456">
        <f t="shared" si="293"/>
        <v>11.526819844810699</v>
      </c>
      <c r="K194" s="456">
        <f t="shared" si="294"/>
        <v>22.25</v>
      </c>
      <c r="L194" s="456"/>
      <c r="M194" s="225">
        <f t="shared" si="295"/>
        <v>0.6853932584269663</v>
      </c>
      <c r="N194" s="180">
        <f t="shared" si="296"/>
        <v>3.1305337078651685</v>
      </c>
      <c r="O194" s="180">
        <f t="shared" si="236"/>
        <v>2.8417586008922964</v>
      </c>
      <c r="P194" s="225">
        <f t="shared" si="297"/>
        <v>0.20870224719101124</v>
      </c>
      <c r="Q194" s="225">
        <f t="shared" si="298"/>
        <v>12.422752808988763</v>
      </c>
      <c r="R194" s="225"/>
      <c r="S194" s="180">
        <f t="shared" si="299"/>
        <v>11.276819844810699</v>
      </c>
      <c r="T194" s="556">
        <f t="shared" si="300"/>
        <v>11.276819844810699</v>
      </c>
      <c r="U194" s="225">
        <f t="shared" si="301"/>
        <v>1.45</v>
      </c>
      <c r="V194" s="225">
        <f t="shared" si="302"/>
        <v>8.2857142857142847</v>
      </c>
      <c r="W194" s="225">
        <f t="shared" si="303"/>
        <v>5.0317434280116062</v>
      </c>
      <c r="X194" s="205">
        <f t="shared" si="304"/>
        <v>350</v>
      </c>
      <c r="Y194" s="456">
        <f t="shared" si="271"/>
        <v>75.08940681443508</v>
      </c>
      <c r="AA194" s="225">
        <f t="shared" si="305"/>
        <v>0.31108468537408818</v>
      </c>
      <c r="AB194" s="181">
        <f t="shared" si="306"/>
        <v>1.0795160835766391</v>
      </c>
      <c r="AC194" s="181">
        <f t="shared" si="307"/>
        <v>5.8768661212748666E-2</v>
      </c>
      <c r="AD194" s="181"/>
      <c r="AE194" s="181">
        <f t="shared" si="308"/>
        <v>1.0063486856023214</v>
      </c>
      <c r="AF194" s="565">
        <f t="shared" si="309"/>
        <v>1726.9670635507109</v>
      </c>
      <c r="AG194" s="548">
        <f t="shared" si="310"/>
        <v>5.1072195794317814E-2</v>
      </c>
      <c r="AI194" s="181">
        <f t="shared" si="311"/>
        <v>0.64417816977384845</v>
      </c>
      <c r="AJ194" s="181">
        <f t="shared" si="312"/>
        <v>1.45</v>
      </c>
      <c r="AK194" s="181">
        <f t="shared" si="313"/>
        <v>2.0592592592592593</v>
      </c>
      <c r="AM194" s="565">
        <f t="shared" si="314"/>
        <v>252</v>
      </c>
      <c r="AN194" s="474">
        <f t="shared" si="315"/>
        <v>75.08940681443508</v>
      </c>
      <c r="AP194" t="str">
        <f t="shared" si="316"/>
        <v/>
      </c>
      <c r="AQ194" t="str">
        <f t="shared" si="317"/>
        <v/>
      </c>
      <c r="AS194" s="6">
        <f t="shared" si="237"/>
        <v>13.317457713725892</v>
      </c>
      <c r="AT194" s="6">
        <f t="shared" si="318"/>
        <v>8.2857142857142847</v>
      </c>
      <c r="AU194" s="6">
        <f t="shared" si="272"/>
        <v>5.0317434280116071</v>
      </c>
      <c r="AV194" s="6"/>
      <c r="AW194" s="181">
        <f t="shared" si="273"/>
        <v>0.62216937074817635</v>
      </c>
      <c r="AX194" s="181">
        <f t="shared" si="233"/>
        <v>3.1575095565469957</v>
      </c>
      <c r="AY194" s="181">
        <f t="shared" si="234"/>
        <v>0.27392720620757216</v>
      </c>
      <c r="AZ194" s="181">
        <f t="shared" si="238"/>
        <v>11.526819844810701</v>
      </c>
      <c r="BD194" s="181">
        <f t="shared" si="239"/>
        <v>0.6603310033606985</v>
      </c>
      <c r="BE194" s="181">
        <f t="shared" si="235"/>
        <v>0.51458361743645353</v>
      </c>
      <c r="BG194" s="548">
        <f t="shared" si="274"/>
        <v>0.15261296189977136</v>
      </c>
      <c r="BH194" s="548">
        <f t="shared" si="275"/>
        <v>2.4225719873507117E-2</v>
      </c>
      <c r="BI194" s="548">
        <f t="shared" si="276"/>
        <v>9.3861758518043849E-4</v>
      </c>
      <c r="BJ194" s="548">
        <f t="shared" si="277"/>
        <v>2.1375020940115974E-3</v>
      </c>
      <c r="BK194">
        <f t="shared" si="278"/>
        <v>2.0300000000000001E-3</v>
      </c>
      <c r="BL194" s="474">
        <f t="shared" si="279"/>
        <v>181.9448014524705</v>
      </c>
      <c r="BM194" s="548">
        <f t="shared" si="280"/>
        <v>8.8200000000000001E-2</v>
      </c>
      <c r="BP194" s="474">
        <f t="shared" si="281"/>
        <v>88.2</v>
      </c>
      <c r="BQ194" s="548">
        <f t="shared" si="282"/>
        <v>0</v>
      </c>
      <c r="BR194" s="548">
        <f t="shared" si="283"/>
        <v>0</v>
      </c>
      <c r="BS194" s="548">
        <f t="shared" si="284"/>
        <v>6.1849571303606628E-3</v>
      </c>
      <c r="BT194" s="548">
        <f t="shared" si="285"/>
        <v>0.16576925171871726</v>
      </c>
      <c r="BU194" s="474">
        <f t="shared" si="286"/>
        <v>171.95420884907793</v>
      </c>
      <c r="BV194" s="181">
        <f t="shared" si="287"/>
        <v>0.44209901030154841</v>
      </c>
      <c r="BW194" s="6">
        <f t="shared" si="288"/>
        <v>2.8417586008922964</v>
      </c>
      <c r="BX194" s="181">
        <f t="shared" si="289"/>
        <v>0.8653720524317059</v>
      </c>
      <c r="BY194" s="6">
        <f t="shared" si="290"/>
        <v>86.53720524317059</v>
      </c>
      <c r="CB194" s="583">
        <f t="shared" si="319"/>
        <v>-50</v>
      </c>
      <c r="CC194">
        <f t="shared" si="320"/>
        <v>-50</v>
      </c>
    </row>
    <row r="195" spans="5:81" x14ac:dyDescent="0.2">
      <c r="E195" s="178">
        <v>85</v>
      </c>
      <c r="F195" s="225">
        <f t="shared" si="321"/>
        <v>0.255</v>
      </c>
      <c r="G195" s="225"/>
      <c r="H195" s="225">
        <f t="shared" si="291"/>
        <v>3.8250000000000002</v>
      </c>
      <c r="I195" s="561">
        <f t="shared" si="292"/>
        <v>7</v>
      </c>
      <c r="J195" s="456">
        <f t="shared" si="293"/>
        <v>11.316407423705863</v>
      </c>
      <c r="K195" s="456">
        <f t="shared" si="294"/>
        <v>22.25</v>
      </c>
      <c r="L195" s="456"/>
      <c r="M195" s="225">
        <f t="shared" si="295"/>
        <v>0.6853932584269663</v>
      </c>
      <c r="N195" s="180">
        <f t="shared" si="296"/>
        <v>3.1305337078651685</v>
      </c>
      <c r="O195" s="180">
        <f t="shared" si="236"/>
        <v>2.8219338930449953</v>
      </c>
      <c r="P195" s="225">
        <f t="shared" si="297"/>
        <v>0.20870224719101124</v>
      </c>
      <c r="Q195" s="225">
        <f t="shared" si="298"/>
        <v>12.276602775941837</v>
      </c>
      <c r="R195" s="225"/>
      <c r="S195" s="180">
        <f t="shared" si="299"/>
        <v>11.066407423705863</v>
      </c>
      <c r="T195" s="556">
        <f t="shared" si="300"/>
        <v>11.066407423705863</v>
      </c>
      <c r="U195" s="225">
        <f t="shared" si="301"/>
        <v>1.45</v>
      </c>
      <c r="V195" s="225">
        <f t="shared" si="302"/>
        <v>8.2857142857142847</v>
      </c>
      <c r="W195" s="225">
        <f t="shared" si="303"/>
        <v>5.1253015050077027</v>
      </c>
      <c r="X195" s="205">
        <f t="shared" si="304"/>
        <v>350</v>
      </c>
      <c r="Y195" s="456">
        <f t="shared" si="271"/>
        <v>74.565567262385912</v>
      </c>
      <c r="AA195" s="225">
        <f t="shared" si="305"/>
        <v>0.30891449294417017</v>
      </c>
      <c r="AB195" s="181">
        <f t="shared" si="306"/>
        <v>1.0919171831761703</v>
      </c>
      <c r="AC195" s="181">
        <f t="shared" si="307"/>
        <v>5.9029082521131315E-2</v>
      </c>
      <c r="AD195" s="181"/>
      <c r="AE195" s="181">
        <f t="shared" si="308"/>
        <v>1.0250603010015407</v>
      </c>
      <c r="AF195" s="565">
        <f t="shared" si="309"/>
        <v>1715.6265713703895</v>
      </c>
      <c r="AG195" s="548">
        <f t="shared" si="310"/>
        <v>5.2021810275828181E-2</v>
      </c>
      <c r="AI195" s="181">
        <f t="shared" si="311"/>
        <v>0.64205962040085107</v>
      </c>
      <c r="AJ195" s="181">
        <f t="shared" si="312"/>
        <v>1.45</v>
      </c>
      <c r="AK195" s="181">
        <f t="shared" si="313"/>
        <v>2.0592592592592593</v>
      </c>
      <c r="AM195" s="565">
        <f t="shared" si="314"/>
        <v>255</v>
      </c>
      <c r="AN195" s="474">
        <f t="shared" si="315"/>
        <v>74.565567262385912</v>
      </c>
      <c r="AP195" t="str">
        <f t="shared" si="316"/>
        <v/>
      </c>
      <c r="AQ195" t="str">
        <f t="shared" si="317"/>
        <v/>
      </c>
      <c r="AS195" s="6">
        <f t="shared" si="237"/>
        <v>13.411015790721988</v>
      </c>
      <c r="AT195" s="6">
        <f t="shared" si="318"/>
        <v>8.2857142857142847</v>
      </c>
      <c r="AU195" s="6">
        <f t="shared" si="272"/>
        <v>5.1253015050077035</v>
      </c>
      <c r="AV195" s="6"/>
      <c r="AW195" s="181">
        <f t="shared" si="273"/>
        <v>0.61782898588834034</v>
      </c>
      <c r="AX195" s="181">
        <f t="shared" si="233"/>
        <v>3.1354821033833282</v>
      </c>
      <c r="AY195" s="181">
        <f t="shared" si="234"/>
        <v>0.27707398523095322</v>
      </c>
      <c r="AZ195" s="181">
        <f t="shared" si="238"/>
        <v>11.316407423705865</v>
      </c>
      <c r="BD195" s="181">
        <f t="shared" si="239"/>
        <v>0.65802366797105294</v>
      </c>
      <c r="BE195" s="181">
        <f t="shared" si="235"/>
        <v>0.5175308548514328</v>
      </c>
      <c r="BG195" s="548">
        <f t="shared" si="274"/>
        <v>0.15154830166352748</v>
      </c>
      <c r="BH195" s="548">
        <f t="shared" si="275"/>
        <v>2.4056716138027252E-2</v>
      </c>
      <c r="BI195" s="548">
        <f t="shared" si="276"/>
        <v>9.3206959077982393E-4</v>
      </c>
      <c r="BJ195" s="548">
        <f t="shared" si="277"/>
        <v>2.1225904282130077E-3</v>
      </c>
      <c r="BK195">
        <f t="shared" si="278"/>
        <v>2.0300000000000001E-3</v>
      </c>
      <c r="BL195" s="474">
        <f t="shared" si="279"/>
        <v>180.68967782054756</v>
      </c>
      <c r="BM195" s="548">
        <f t="shared" si="280"/>
        <v>8.9249999999999996E-2</v>
      </c>
      <c r="BP195" s="474">
        <f t="shared" si="281"/>
        <v>89.25</v>
      </c>
      <c r="BQ195" s="548">
        <f t="shared" si="282"/>
        <v>0</v>
      </c>
      <c r="BR195" s="548">
        <f t="shared" si="283"/>
        <v>0</v>
      </c>
      <c r="BS195" s="548">
        <f t="shared" si="284"/>
        <v>6.0776519446149859E-3</v>
      </c>
      <c r="BT195" s="548">
        <f t="shared" si="285"/>
        <v>0.16461281042762471</v>
      </c>
      <c r="BU195" s="474">
        <f t="shared" si="286"/>
        <v>170.69046237223969</v>
      </c>
      <c r="BV195" s="181">
        <f t="shared" si="287"/>
        <v>0.44063014019278723</v>
      </c>
      <c r="BW195" s="6">
        <f t="shared" si="288"/>
        <v>2.8219338930449953</v>
      </c>
      <c r="BX195" s="181">
        <f t="shared" si="289"/>
        <v>0.86494360395571945</v>
      </c>
      <c r="BY195" s="6">
        <f t="shared" si="290"/>
        <v>86.494360395571945</v>
      </c>
      <c r="CB195" s="583">
        <f t="shared" si="319"/>
        <v>-50</v>
      </c>
      <c r="CC195">
        <f t="shared" si="320"/>
        <v>-50</v>
      </c>
    </row>
    <row r="196" spans="5:81" x14ac:dyDescent="0.2">
      <c r="E196" s="178">
        <v>86</v>
      </c>
      <c r="F196" s="225">
        <f t="shared" si="321"/>
        <v>0.25800000000000001</v>
      </c>
      <c r="G196" s="225"/>
      <c r="H196" s="225">
        <f t="shared" si="291"/>
        <v>3.87</v>
      </c>
      <c r="I196" s="561">
        <f t="shared" si="292"/>
        <v>7</v>
      </c>
      <c r="J196" s="456">
        <f t="shared" si="293"/>
        <v>11.110990087619701</v>
      </c>
      <c r="K196" s="456">
        <f t="shared" si="294"/>
        <v>22.25</v>
      </c>
      <c r="L196" s="456"/>
      <c r="M196" s="225">
        <f t="shared" si="295"/>
        <v>0.6853932584269663</v>
      </c>
      <c r="N196" s="180">
        <f t="shared" si="296"/>
        <v>3.1305337078651685</v>
      </c>
      <c r="O196" s="180">
        <f t="shared" si="236"/>
        <v>2.8021354426058829</v>
      </c>
      <c r="P196" s="225">
        <f t="shared" si="297"/>
        <v>0.20870224719101124</v>
      </c>
      <c r="Q196" s="225">
        <f t="shared" si="298"/>
        <v>12.133851580872745</v>
      </c>
      <c r="R196" s="225"/>
      <c r="S196" s="180">
        <f t="shared" si="299"/>
        <v>10.860990087619701</v>
      </c>
      <c r="T196" s="556">
        <f t="shared" si="300"/>
        <v>10.860990087619701</v>
      </c>
      <c r="U196" s="225">
        <f t="shared" si="301"/>
        <v>1.45</v>
      </c>
      <c r="V196" s="225">
        <f t="shared" si="302"/>
        <v>8.2857142857142847</v>
      </c>
      <c r="W196" s="225">
        <f t="shared" si="303"/>
        <v>5.2200568574555621</v>
      </c>
      <c r="X196" s="205">
        <f t="shared" si="304"/>
        <v>350</v>
      </c>
      <c r="Y196" s="456">
        <f t="shared" si="271"/>
        <v>74.042421524795429</v>
      </c>
      <c r="AA196" s="225">
        <f t="shared" si="305"/>
        <v>0.30674717488843811</v>
      </c>
      <c r="AB196" s="181">
        <f t="shared" si="306"/>
        <v>1.1043018577803532</v>
      </c>
      <c r="AC196" s="181">
        <f t="shared" si="307"/>
        <v>5.9279758142180991E-2</v>
      </c>
      <c r="AD196" s="181"/>
      <c r="AE196" s="181">
        <f t="shared" si="308"/>
        <v>1.0440113714911126</v>
      </c>
      <c r="AF196" s="565">
        <f t="shared" si="309"/>
        <v>1704.301690015388</v>
      </c>
      <c r="AG196" s="548">
        <f t="shared" si="310"/>
        <v>5.2983577103173959E-2</v>
      </c>
      <c r="AI196" s="181">
        <f t="shared" si="311"/>
        <v>0.63993698826032674</v>
      </c>
      <c r="AJ196" s="181">
        <f t="shared" si="312"/>
        <v>1.45</v>
      </c>
      <c r="AK196" s="181">
        <f t="shared" si="313"/>
        <v>2.0592592592592593</v>
      </c>
      <c r="AM196" s="565">
        <f t="shared" si="314"/>
        <v>258</v>
      </c>
      <c r="AN196" s="474">
        <f t="shared" si="315"/>
        <v>74.042421524795429</v>
      </c>
      <c r="AP196" t="str">
        <f t="shared" si="316"/>
        <v/>
      </c>
      <c r="AQ196" t="str">
        <f t="shared" si="317"/>
        <v/>
      </c>
      <c r="AS196" s="6">
        <f t="shared" si="237"/>
        <v>13.505771143169845</v>
      </c>
      <c r="AT196" s="6">
        <f t="shared" si="318"/>
        <v>8.2857142857142847</v>
      </c>
      <c r="AU196" s="6">
        <f t="shared" si="272"/>
        <v>5.2200568574555604</v>
      </c>
      <c r="AV196" s="6"/>
      <c r="AW196" s="181">
        <f t="shared" si="273"/>
        <v>0.61349434977687645</v>
      </c>
      <c r="AX196" s="181">
        <f t="shared" si="233"/>
        <v>3.113483825117648</v>
      </c>
      <c r="AY196" s="181">
        <f t="shared" si="234"/>
        <v>0.28021659641176455</v>
      </c>
      <c r="AZ196" s="181">
        <f t="shared" si="238"/>
        <v>11.110990087619708</v>
      </c>
      <c r="BD196" s="181">
        <f t="shared" si="239"/>
        <v>0.65571128565497039</v>
      </c>
      <c r="BE196" s="181">
        <f t="shared" si="235"/>
        <v>0.52045753255961147</v>
      </c>
      <c r="BG196" s="548">
        <f t="shared" si="274"/>
        <v>0.15048505154735295</v>
      </c>
      <c r="BH196" s="548">
        <f t="shared" si="275"/>
        <v>2.3887936244437122E-2</v>
      </c>
      <c r="BI196" s="548">
        <f t="shared" si="276"/>
        <v>9.2553026905994277E-4</v>
      </c>
      <c r="BJ196" s="548">
        <f t="shared" si="277"/>
        <v>2.1076985126018441E-3</v>
      </c>
      <c r="BK196">
        <f t="shared" si="278"/>
        <v>2.0300000000000001E-3</v>
      </c>
      <c r="BL196" s="474">
        <f t="shared" si="279"/>
        <v>179.43621657345184</v>
      </c>
      <c r="BM196" s="548">
        <f t="shared" si="280"/>
        <v>9.0299999999999991E-2</v>
      </c>
      <c r="BP196" s="474">
        <f t="shared" si="281"/>
        <v>90.3</v>
      </c>
      <c r="BQ196" s="548">
        <f t="shared" si="282"/>
        <v>0</v>
      </c>
      <c r="BR196" s="548">
        <f t="shared" si="283"/>
        <v>0</v>
      </c>
      <c r="BS196" s="548">
        <f t="shared" si="284"/>
        <v>5.9716114795001643E-3</v>
      </c>
      <c r="BT196" s="548">
        <f t="shared" si="285"/>
        <v>0.16345790081867653</v>
      </c>
      <c r="BU196" s="474">
        <f t="shared" si="286"/>
        <v>169.42951229817672</v>
      </c>
      <c r="BV196" s="181">
        <f t="shared" si="287"/>
        <v>0.43916572887162852</v>
      </c>
      <c r="BW196" s="6">
        <f t="shared" si="288"/>
        <v>2.8021354426058829</v>
      </c>
      <c r="BX196" s="181">
        <f t="shared" si="289"/>
        <v>0.8645094344406633</v>
      </c>
      <c r="BY196" s="6">
        <f t="shared" si="290"/>
        <v>86.450943444066326</v>
      </c>
      <c r="CB196" s="583">
        <f t="shared" si="319"/>
        <v>-50</v>
      </c>
      <c r="CC196">
        <f t="shared" si="320"/>
        <v>-50</v>
      </c>
    </row>
    <row r="197" spans="5:81" x14ac:dyDescent="0.2">
      <c r="E197" s="178">
        <v>87</v>
      </c>
      <c r="F197" s="225">
        <f t="shared" si="321"/>
        <v>0.26100000000000001</v>
      </c>
      <c r="G197" s="225"/>
      <c r="H197" s="225">
        <f t="shared" si="291"/>
        <v>3.915</v>
      </c>
      <c r="I197" s="561">
        <f t="shared" si="292"/>
        <v>7</v>
      </c>
      <c r="J197" s="456">
        <f t="shared" si="293"/>
        <v>10.910397456371134</v>
      </c>
      <c r="K197" s="456">
        <f t="shared" si="294"/>
        <v>22.25</v>
      </c>
      <c r="L197" s="456"/>
      <c r="M197" s="225">
        <f t="shared" si="295"/>
        <v>0.6853932584269663</v>
      </c>
      <c r="N197" s="180">
        <f t="shared" si="296"/>
        <v>3.1305337078651685</v>
      </c>
      <c r="O197" s="180">
        <f t="shared" si="236"/>
        <v>2.7823637361128664</v>
      </c>
      <c r="P197" s="225">
        <f t="shared" si="297"/>
        <v>0.20870224719101124</v>
      </c>
      <c r="Q197" s="225">
        <f t="shared" si="298"/>
        <v>11.994382022471909</v>
      </c>
      <c r="R197" s="225"/>
      <c r="S197" s="180">
        <f t="shared" si="299"/>
        <v>10.660397456371134</v>
      </c>
      <c r="T197" s="556">
        <f t="shared" si="300"/>
        <v>10.660397456371134</v>
      </c>
      <c r="U197" s="225">
        <f t="shared" si="301"/>
        <v>1.45</v>
      </c>
      <c r="V197" s="225">
        <f t="shared" si="302"/>
        <v>8.2857142857142847</v>
      </c>
      <c r="W197" s="225">
        <f t="shared" si="303"/>
        <v>5.3160299825860937</v>
      </c>
      <c r="X197" s="205">
        <f t="shared" si="304"/>
        <v>350</v>
      </c>
      <c r="Y197" s="456">
        <f t="shared" si="271"/>
        <v>73.519982457731942</v>
      </c>
      <c r="AA197" s="225">
        <f t="shared" si="305"/>
        <v>0.30458278446774661</v>
      </c>
      <c r="AB197" s="181">
        <f t="shared" si="306"/>
        <v>1.1166698030414477</v>
      </c>
      <c r="AC197" s="181">
        <f t="shared" si="307"/>
        <v>5.9520719639747512E-2</v>
      </c>
      <c r="AD197" s="181"/>
      <c r="AE197" s="181">
        <f t="shared" si="308"/>
        <v>1.0632059965172189</v>
      </c>
      <c r="AF197" s="565">
        <f t="shared" si="309"/>
        <v>1692.9927087472449</v>
      </c>
      <c r="AG197" s="548">
        <f t="shared" si="310"/>
        <v>5.3957704323248853E-2</v>
      </c>
      <c r="AI197" s="181">
        <f t="shared" si="311"/>
        <v>0.63781028707746468</v>
      </c>
      <c r="AJ197" s="181">
        <f t="shared" si="312"/>
        <v>1.45</v>
      </c>
      <c r="AK197" s="181">
        <f t="shared" si="313"/>
        <v>2.0592592592592593</v>
      </c>
      <c r="AM197" s="565">
        <f t="shared" si="314"/>
        <v>261</v>
      </c>
      <c r="AN197" s="474">
        <f t="shared" si="315"/>
        <v>73.519982457731942</v>
      </c>
      <c r="AP197" t="str">
        <f t="shared" si="316"/>
        <v/>
      </c>
      <c r="AQ197" t="str">
        <f t="shared" si="317"/>
        <v/>
      </c>
      <c r="AS197" s="6">
        <f t="shared" si="237"/>
        <v>13.601744268300381</v>
      </c>
      <c r="AT197" s="6">
        <f t="shared" si="318"/>
        <v>8.2857142857142847</v>
      </c>
      <c r="AU197" s="6">
        <f t="shared" si="272"/>
        <v>5.3160299825860964</v>
      </c>
      <c r="AV197" s="6"/>
      <c r="AW197" s="181">
        <f t="shared" si="273"/>
        <v>0.60916556893549312</v>
      </c>
      <c r="AX197" s="181">
        <f t="shared" ref="AX197:AX210" si="322">0.5*L*AJ197^2*AN197*1000</f>
        <v>3.0915152623476283</v>
      </c>
      <c r="AY197" s="181">
        <f t="shared" ref="AY197:AY210" si="323">AJ197*Nps/2*(1-AW197)</f>
        <v>0.28335496252176751</v>
      </c>
      <c r="AZ197" s="181">
        <f t="shared" si="238"/>
        <v>10.910397456371127</v>
      </c>
      <c r="BD197" s="181">
        <f t="shared" si="239"/>
        <v>0.65339385995657939</v>
      </c>
      <c r="BE197" s="181">
        <f t="shared" ref="BE197:BE210" si="324">AJ197*Nps*SQRT((1-AW197)/3)</f>
        <v>0.52336392415256827</v>
      </c>
      <c r="BG197" s="548">
        <f t="shared" si="274"/>
        <v>0.14942323768013532</v>
      </c>
      <c r="BH197" s="548">
        <f t="shared" si="275"/>
        <v>2.3719384340425764E-2</v>
      </c>
      <c r="BI197" s="548">
        <f t="shared" si="276"/>
        <v>9.1899978072164921E-4</v>
      </c>
      <c r="BJ197" s="548">
        <f t="shared" si="277"/>
        <v>2.0928267131401527E-3</v>
      </c>
      <c r="BK197">
        <f t="shared" si="278"/>
        <v>2.0300000000000001E-3</v>
      </c>
      <c r="BL197" s="474">
        <f t="shared" si="279"/>
        <v>178.18444851442288</v>
      </c>
      <c r="BM197" s="548">
        <f t="shared" si="280"/>
        <v>9.1350000000000001E-2</v>
      </c>
      <c r="BP197" s="474">
        <f t="shared" si="281"/>
        <v>91.35</v>
      </c>
      <c r="BQ197" s="548">
        <f t="shared" si="282"/>
        <v>0</v>
      </c>
      <c r="BR197" s="548">
        <f t="shared" si="283"/>
        <v>0</v>
      </c>
      <c r="BS197" s="548">
        <f t="shared" si="284"/>
        <v>5.8668299017457454E-3</v>
      </c>
      <c r="BT197" s="548">
        <f t="shared" si="285"/>
        <v>0.1623045512732505</v>
      </c>
      <c r="BU197" s="474">
        <f t="shared" si="286"/>
        <v>168.17138117499624</v>
      </c>
      <c r="BV197" s="181">
        <f t="shared" si="287"/>
        <v>0.43770582968941912</v>
      </c>
      <c r="BW197" s="6">
        <f t="shared" si="288"/>
        <v>2.7823637361128664</v>
      </c>
      <c r="BX197" s="181">
        <f t="shared" si="289"/>
        <v>0.86406944920136719</v>
      </c>
      <c r="BY197" s="6">
        <f t="shared" si="290"/>
        <v>86.406944920136723</v>
      </c>
      <c r="CB197" s="583">
        <f t="shared" si="319"/>
        <v>-50</v>
      </c>
      <c r="CC197">
        <f t="shared" si="320"/>
        <v>-50</v>
      </c>
    </row>
    <row r="198" spans="5:81" x14ac:dyDescent="0.2">
      <c r="E198" s="178">
        <v>88</v>
      </c>
      <c r="F198" s="225">
        <f t="shared" si="321"/>
        <v>0.26400000000000001</v>
      </c>
      <c r="G198" s="225"/>
      <c r="H198" s="225">
        <f t="shared" si="291"/>
        <v>3.96</v>
      </c>
      <c r="I198" s="561">
        <f t="shared" si="292"/>
        <v>7</v>
      </c>
      <c r="J198" s="456">
        <f t="shared" si="293"/>
        <v>10.714466934416212</v>
      </c>
      <c r="K198" s="456">
        <f t="shared" si="294"/>
        <v>22.25</v>
      </c>
      <c r="L198" s="456"/>
      <c r="M198" s="225">
        <f t="shared" si="295"/>
        <v>0.6853932584269663</v>
      </c>
      <c r="N198" s="180">
        <f t="shared" si="296"/>
        <v>3.1305337078651685</v>
      </c>
      <c r="O198" s="180">
        <f t="shared" ref="O198:O261" si="325">T198*F198</f>
        <v>2.7626192706858799</v>
      </c>
      <c r="P198" s="225">
        <f t="shared" si="297"/>
        <v>0.20870224719101124</v>
      </c>
      <c r="Q198" s="225">
        <f t="shared" si="298"/>
        <v>11.858082226762001</v>
      </c>
      <c r="R198" s="225"/>
      <c r="S198" s="180">
        <f t="shared" si="299"/>
        <v>10.464466934416212</v>
      </c>
      <c r="T198" s="556">
        <f t="shared" si="300"/>
        <v>10.464466934416212</v>
      </c>
      <c r="U198" s="225">
        <f t="shared" si="301"/>
        <v>1.45</v>
      </c>
      <c r="V198" s="225">
        <f t="shared" si="302"/>
        <v>8.2857142857142847</v>
      </c>
      <c r="W198" s="225">
        <f t="shared" si="303"/>
        <v>5.4132417744177941</v>
      </c>
      <c r="X198" s="205">
        <f t="shared" si="304"/>
        <v>350</v>
      </c>
      <c r="Y198" s="456">
        <f t="shared" si="271"/>
        <v>72.998263196878838</v>
      </c>
      <c r="AA198" s="225">
        <f t="shared" si="305"/>
        <v>0.30242137610135517</v>
      </c>
      <c r="AB198" s="181">
        <f t="shared" si="306"/>
        <v>1.1290207079922558</v>
      </c>
      <c r="AC198" s="181">
        <f t="shared" si="307"/>
        <v>5.9751999327640248E-2</v>
      </c>
      <c r="AD198" s="181"/>
      <c r="AE198" s="181">
        <f t="shared" si="308"/>
        <v>1.082648354883559</v>
      </c>
      <c r="AF198" s="565">
        <f t="shared" si="309"/>
        <v>1681.6999231188349</v>
      </c>
      <c r="AG198" s="548">
        <f t="shared" si="310"/>
        <v>5.4944404010340613E-2</v>
      </c>
      <c r="AI198" s="181">
        <f t="shared" si="311"/>
        <v>0.6356795318718701</v>
      </c>
      <c r="AJ198" s="181">
        <f t="shared" si="312"/>
        <v>1.45</v>
      </c>
      <c r="AK198" s="181">
        <f t="shared" si="313"/>
        <v>2.0592592592592593</v>
      </c>
      <c r="AM198" s="565">
        <f t="shared" si="314"/>
        <v>264</v>
      </c>
      <c r="AN198" s="474">
        <f t="shared" si="315"/>
        <v>72.998263196878838</v>
      </c>
      <c r="AP198" t="str">
        <f t="shared" si="316"/>
        <v/>
      </c>
      <c r="AQ198" t="str">
        <f t="shared" si="317"/>
        <v/>
      </c>
      <c r="AS198" s="6">
        <f t="shared" ref="AS198:AS262" si="326">1/AN198*1000</f>
        <v>13.698956060132081</v>
      </c>
      <c r="AT198" s="6">
        <f t="shared" si="318"/>
        <v>8.2857142857142847</v>
      </c>
      <c r="AU198" s="6">
        <f t="shared" si="272"/>
        <v>5.4132417744177967</v>
      </c>
      <c r="AV198" s="6"/>
      <c r="AW198" s="181">
        <f t="shared" si="273"/>
        <v>0.60484275220271022</v>
      </c>
      <c r="AX198" s="181">
        <f t="shared" si="322"/>
        <v>3.0695769674287559</v>
      </c>
      <c r="AY198" s="181">
        <f t="shared" si="323"/>
        <v>0.28648900465303506</v>
      </c>
      <c r="AZ198" s="181">
        <f t="shared" ref="AZ198:AZ210" si="327">AX198/AY198</f>
        <v>10.71446693441621</v>
      </c>
      <c r="BD198" s="181">
        <f t="shared" ref="BD198:BD210" si="328">AJ198*SQRT(AW198/3)</f>
        <v>0.65107139560015437</v>
      </c>
      <c r="BE198" s="181">
        <f t="shared" si="324"/>
        <v>0.52625029326794726</v>
      </c>
      <c r="BG198" s="548">
        <f t="shared" si="274"/>
        <v>0.14836288675905643</v>
      </c>
      <c r="BH198" s="548">
        <f t="shared" si="275"/>
        <v>2.3551064663893031E-2</v>
      </c>
      <c r="BI198" s="548">
        <f t="shared" si="276"/>
        <v>9.1247828996098544E-4</v>
      </c>
      <c r="BJ198" s="548">
        <f t="shared" si="277"/>
        <v>2.0779754037495279E-3</v>
      </c>
      <c r="BK198">
        <f t="shared" si="278"/>
        <v>2.0300000000000001E-3</v>
      </c>
      <c r="BL198" s="474">
        <f t="shared" si="279"/>
        <v>176.93440511665997</v>
      </c>
      <c r="BM198" s="548">
        <f t="shared" si="280"/>
        <v>9.2399999999999996E-2</v>
      </c>
      <c r="BP198" s="474">
        <f t="shared" si="281"/>
        <v>92.399999999999991</v>
      </c>
      <c r="BQ198" s="548">
        <f t="shared" si="282"/>
        <v>0</v>
      </c>
      <c r="BR198" s="548">
        <f t="shared" si="283"/>
        <v>0</v>
      </c>
      <c r="BS198" s="548">
        <f t="shared" si="284"/>
        <v>5.7633013476278009E-3</v>
      </c>
      <c r="BT198" s="548">
        <f t="shared" si="285"/>
        <v>0.16115279079000966</v>
      </c>
      <c r="BU198" s="474">
        <f t="shared" si="286"/>
        <v>166.91609213763746</v>
      </c>
      <c r="BV198" s="181">
        <f t="shared" si="287"/>
        <v>0.43625049725429743</v>
      </c>
      <c r="BW198" s="6">
        <f t="shared" si="288"/>
        <v>2.7626192706858799</v>
      </c>
      <c r="BX198" s="181">
        <f t="shared" si="289"/>
        <v>0.86362355178491412</v>
      </c>
      <c r="BY198" s="6">
        <f t="shared" si="290"/>
        <v>86.362355178491413</v>
      </c>
      <c r="CB198" s="583">
        <f t="shared" si="319"/>
        <v>-50</v>
      </c>
      <c r="CC198">
        <f t="shared" si="320"/>
        <v>-50</v>
      </c>
    </row>
    <row r="199" spans="5:81" x14ac:dyDescent="0.2">
      <c r="E199" s="178">
        <v>89</v>
      </c>
      <c r="F199" s="225">
        <f t="shared" si="321"/>
        <v>0.26700000000000002</v>
      </c>
      <c r="G199" s="225"/>
      <c r="H199" s="225">
        <f t="shared" si="291"/>
        <v>4.0049999999999999</v>
      </c>
      <c r="I199" s="561">
        <f t="shared" si="292"/>
        <v>7</v>
      </c>
      <c r="J199" s="456">
        <f t="shared" si="293"/>
        <v>10.523043274392158</v>
      </c>
      <c r="K199" s="456">
        <f t="shared" si="294"/>
        <v>22.25</v>
      </c>
      <c r="L199" s="456"/>
      <c r="M199" s="225">
        <f t="shared" si="295"/>
        <v>0.6853932584269663</v>
      </c>
      <c r="N199" s="180">
        <f t="shared" si="296"/>
        <v>3.1305337078651685</v>
      </c>
      <c r="O199" s="180">
        <f t="shared" si="325"/>
        <v>2.7429025542627063</v>
      </c>
      <c r="P199" s="225">
        <f t="shared" si="297"/>
        <v>0.20870224719101124</v>
      </c>
      <c r="Q199" s="225">
        <f t="shared" si="298"/>
        <v>11.72484534780962</v>
      </c>
      <c r="R199" s="225"/>
      <c r="S199" s="180">
        <f t="shared" si="299"/>
        <v>10.273043274392158</v>
      </c>
      <c r="T199" s="556">
        <f t="shared" si="300"/>
        <v>10.273043274392158</v>
      </c>
      <c r="U199" s="225">
        <f t="shared" si="301"/>
        <v>1.45</v>
      </c>
      <c r="V199" s="225">
        <f t="shared" si="302"/>
        <v>8.2857142857142847</v>
      </c>
      <c r="W199" s="225">
        <f t="shared" si="303"/>
        <v>5.5117135307371665</v>
      </c>
      <c r="X199" s="205">
        <f t="shared" si="304"/>
        <v>350</v>
      </c>
      <c r="Y199" s="456">
        <f t="shared" si="271"/>
        <v>72.477277163765521</v>
      </c>
      <c r="AA199" s="225">
        <f t="shared" si="305"/>
        <v>0.30026300539274281</v>
      </c>
      <c r="AB199" s="181">
        <f t="shared" si="306"/>
        <v>1.141354254898612</v>
      </c>
      <c r="AC199" s="181">
        <f t="shared" si="307"/>
        <v>5.9973630288889079E-2</v>
      </c>
      <c r="AD199" s="181"/>
      <c r="AE199" s="181">
        <f t="shared" si="308"/>
        <v>1.1023427061474333</v>
      </c>
      <c r="AF199" s="565">
        <f t="shared" si="309"/>
        <v>1670.4236351145696</v>
      </c>
      <c r="AG199" s="548">
        <f t="shared" si="310"/>
        <v>5.594389233698225E-2</v>
      </c>
      <c r="AI199" s="181">
        <f t="shared" si="311"/>
        <v>0.63354473900683894</v>
      </c>
      <c r="AJ199" s="181">
        <f t="shared" si="312"/>
        <v>1.45</v>
      </c>
      <c r="AK199" s="181">
        <f t="shared" si="313"/>
        <v>2.0592592592592593</v>
      </c>
      <c r="AM199" s="565">
        <f t="shared" si="314"/>
        <v>267</v>
      </c>
      <c r="AN199" s="474">
        <f t="shared" si="315"/>
        <v>72.477277163765521</v>
      </c>
      <c r="AP199" t="str">
        <f t="shared" si="316"/>
        <v/>
      </c>
      <c r="AQ199" t="str">
        <f t="shared" si="317"/>
        <v/>
      </c>
      <c r="AS199" s="6">
        <f t="shared" si="326"/>
        <v>13.797427816451453</v>
      </c>
      <c r="AT199" s="6">
        <f t="shared" si="318"/>
        <v>8.2857142857142847</v>
      </c>
      <c r="AU199" s="6">
        <f t="shared" si="272"/>
        <v>5.5117135307371683</v>
      </c>
      <c r="AV199" s="6"/>
      <c r="AW199" s="181">
        <f t="shared" si="273"/>
        <v>0.60052601078548562</v>
      </c>
      <c r="AX199" s="181">
        <f t="shared" si="322"/>
        <v>3.0476695047363407</v>
      </c>
      <c r="AY199" s="181">
        <f t="shared" si="323"/>
        <v>0.28961864218052291</v>
      </c>
      <c r="AZ199" s="181">
        <f t="shared" si="327"/>
        <v>10.523043274392158</v>
      </c>
      <c r="BD199" s="181">
        <f t="shared" si="328"/>
        <v>0.64874389853944769</v>
      </c>
      <c r="BE199" s="181">
        <f t="shared" si="324"/>
        <v>0.529116893929094</v>
      </c>
      <c r="BG199" s="548">
        <f t="shared" si="274"/>
        <v>0.14730402606225643</v>
      </c>
      <c r="BH199" s="548">
        <f t="shared" si="275"/>
        <v>2.3382981544959849E-2</v>
      </c>
      <c r="BI199" s="548">
        <f t="shared" si="276"/>
        <v>9.0596596454706906E-4</v>
      </c>
      <c r="BJ199" s="548">
        <f t="shared" si="277"/>
        <v>2.0631449664884833E-3</v>
      </c>
      <c r="BK199">
        <f t="shared" si="278"/>
        <v>2.0300000000000001E-3</v>
      </c>
      <c r="BL199" s="474">
        <f t="shared" si="279"/>
        <v>175.68611853825183</v>
      </c>
      <c r="BM199" s="548">
        <f t="shared" si="280"/>
        <v>9.3450000000000005E-2</v>
      </c>
      <c r="BP199" s="474">
        <f t="shared" si="281"/>
        <v>93.45</v>
      </c>
      <c r="BQ199" s="548">
        <f t="shared" si="282"/>
        <v>0</v>
      </c>
      <c r="BR199" s="548">
        <f t="shared" si="283"/>
        <v>0</v>
      </c>
      <c r="BS199" s="548">
        <f t="shared" si="284"/>
        <v>5.6610199225122729E-3</v>
      </c>
      <c r="BT199" s="548">
        <f t="shared" si="285"/>
        <v>0.1600026489986579</v>
      </c>
      <c r="BU199" s="474">
        <f t="shared" si="286"/>
        <v>165.66366892117017</v>
      </c>
      <c r="BV199" s="181">
        <f t="shared" si="287"/>
        <v>0.43479978745942199</v>
      </c>
      <c r="BW199" s="6">
        <f t="shared" si="288"/>
        <v>2.7429025542627063</v>
      </c>
      <c r="BX199" s="181">
        <f t="shared" si="289"/>
        <v>0.86317164394202317</v>
      </c>
      <c r="BY199" s="6">
        <f t="shared" si="290"/>
        <v>86.317164394202322</v>
      </c>
      <c r="CB199" s="583">
        <f t="shared" si="319"/>
        <v>-50</v>
      </c>
      <c r="CC199">
        <f t="shared" si="320"/>
        <v>-50</v>
      </c>
    </row>
    <row r="200" spans="5:81" x14ac:dyDescent="0.2">
      <c r="E200" s="178">
        <v>90</v>
      </c>
      <c r="F200" s="225">
        <f t="shared" si="321"/>
        <v>0.27</v>
      </c>
      <c r="G200" s="225"/>
      <c r="H200" s="225">
        <f t="shared" si="291"/>
        <v>4.0500000000000007</v>
      </c>
      <c r="I200" s="561">
        <f t="shared" si="292"/>
        <v>7</v>
      </c>
      <c r="J200" s="456">
        <f t="shared" si="293"/>
        <v>10.335978169773142</v>
      </c>
      <c r="K200" s="456">
        <f t="shared" si="294"/>
        <v>22.25</v>
      </c>
      <c r="L200" s="456"/>
      <c r="M200" s="225">
        <f t="shared" si="295"/>
        <v>0.6853932584269663</v>
      </c>
      <c r="N200" s="180">
        <f t="shared" si="296"/>
        <v>3.1305337078651685</v>
      </c>
      <c r="O200" s="180">
        <f t="shared" si="325"/>
        <v>2.7232141058387485</v>
      </c>
      <c r="P200" s="225">
        <f t="shared" si="297"/>
        <v>0.20870224719101124</v>
      </c>
      <c r="Q200" s="225">
        <f t="shared" si="298"/>
        <v>11.594569288389511</v>
      </c>
      <c r="R200" s="225"/>
      <c r="S200" s="180">
        <f t="shared" si="299"/>
        <v>10.085978169773142</v>
      </c>
      <c r="T200" s="556">
        <f t="shared" si="300"/>
        <v>10.085978169773142</v>
      </c>
      <c r="U200" s="225">
        <f t="shared" si="301"/>
        <v>1.45</v>
      </c>
      <c r="V200" s="225">
        <f t="shared" si="302"/>
        <v>8.2857142857142847</v>
      </c>
      <c r="W200" s="225">
        <f t="shared" si="303"/>
        <v>5.6114669601003042</v>
      </c>
      <c r="X200" s="205">
        <f t="shared" si="304"/>
        <v>350</v>
      </c>
      <c r="Y200" s="456">
        <f t="shared" si="271"/>
        <v>71.957038072103273</v>
      </c>
      <c r="AA200" s="225">
        <f t="shared" si="305"/>
        <v>0.29810772915585637</v>
      </c>
      <c r="AB200" s="181">
        <f t="shared" si="306"/>
        <v>1.1536701191093919</v>
      </c>
      <c r="AC200" s="181">
        <f t="shared" si="307"/>
        <v>6.0185646395466752E-2</v>
      </c>
      <c r="AD200" s="181"/>
      <c r="AE200" s="181">
        <f t="shared" si="308"/>
        <v>1.1222933920200608</v>
      </c>
      <c r="AF200" s="565">
        <f t="shared" si="309"/>
        <v>1659.1641532929539</v>
      </c>
      <c r="AG200" s="548">
        <f t="shared" si="310"/>
        <v>5.6956389645018091E-2</v>
      </c>
      <c r="AI200" s="181">
        <f t="shared" si="311"/>
        <v>0.63140592624020386</v>
      </c>
      <c r="AJ200" s="181">
        <f t="shared" si="312"/>
        <v>1.45</v>
      </c>
      <c r="AK200" s="181">
        <f t="shared" si="313"/>
        <v>2.0592592592592593</v>
      </c>
      <c r="AM200" s="565">
        <f t="shared" si="314"/>
        <v>270</v>
      </c>
      <c r="AN200" s="474">
        <f t="shared" si="315"/>
        <v>71.957038072103273</v>
      </c>
      <c r="AP200" t="str">
        <f t="shared" si="316"/>
        <v/>
      </c>
      <c r="AQ200" t="str">
        <f t="shared" si="317"/>
        <v/>
      </c>
      <c r="AS200" s="6">
        <f t="shared" si="326"/>
        <v>13.89718124581459</v>
      </c>
      <c r="AT200" s="6">
        <f t="shared" si="318"/>
        <v>8.2857142857142847</v>
      </c>
      <c r="AU200" s="6">
        <f t="shared" si="272"/>
        <v>5.6114669601003051</v>
      </c>
      <c r="AV200" s="6"/>
      <c r="AW200" s="181">
        <f t="shared" si="273"/>
        <v>0.59621545831171274</v>
      </c>
      <c r="AX200" s="181">
        <f t="shared" si="322"/>
        <v>3.0257934509319431</v>
      </c>
      <c r="AY200" s="181">
        <f t="shared" si="323"/>
        <v>0.29274379272400824</v>
      </c>
      <c r="AZ200" s="181">
        <f t="shared" si="327"/>
        <v>10.335978169773144</v>
      </c>
      <c r="BD200" s="181">
        <f t="shared" si="328"/>
        <v>0.64641137600869825</v>
      </c>
      <c r="BE200" s="181">
        <f t="shared" si="324"/>
        <v>0.53196397086633096</v>
      </c>
      <c r="BG200" s="548">
        <f t="shared" si="274"/>
        <v>0.14624668346171052</v>
      </c>
      <c r="BH200" s="548">
        <f t="shared" si="275"/>
        <v>2.3215139408012318E-2</v>
      </c>
      <c r="BI200" s="548">
        <f t="shared" si="276"/>
        <v>8.9946297590129084E-4</v>
      </c>
      <c r="BJ200" s="548">
        <f t="shared" si="277"/>
        <v>2.0483357917328109E-3</v>
      </c>
      <c r="BK200">
        <f t="shared" si="278"/>
        <v>2.0300000000000001E-3</v>
      </c>
      <c r="BL200" s="474">
        <f t="shared" si="279"/>
        <v>174.43962163735694</v>
      </c>
      <c r="BM200" s="548">
        <f t="shared" si="280"/>
        <v>9.4500000000000001E-2</v>
      </c>
      <c r="BP200" s="474">
        <f t="shared" si="281"/>
        <v>94.5</v>
      </c>
      <c r="BQ200" s="548">
        <f t="shared" si="282"/>
        <v>0</v>
      </c>
      <c r="BR200" s="548">
        <f t="shared" si="283"/>
        <v>0</v>
      </c>
      <c r="BS200" s="548">
        <f t="shared" si="284"/>
        <v>5.5599797003894865E-3</v>
      </c>
      <c r="BT200" s="548">
        <f t="shared" si="285"/>
        <v>0.15885415617392701</v>
      </c>
      <c r="BU200" s="474">
        <f t="shared" si="286"/>
        <v>164.41413587431649</v>
      </c>
      <c r="BV200" s="181">
        <f t="shared" si="287"/>
        <v>0.43335375751167343</v>
      </c>
      <c r="BW200" s="6">
        <f t="shared" si="288"/>
        <v>2.7232141058387485</v>
      </c>
      <c r="BX200" s="181">
        <f t="shared" si="289"/>
        <v>0.86271362559849862</v>
      </c>
      <c r="BY200" s="6">
        <f t="shared" si="290"/>
        <v>86.271362559849862</v>
      </c>
      <c r="CB200" s="583">
        <f t="shared" si="319"/>
        <v>-50</v>
      </c>
      <c r="CC200">
        <f t="shared" si="320"/>
        <v>-50</v>
      </c>
    </row>
    <row r="201" spans="5:81" x14ac:dyDescent="0.2">
      <c r="E201" s="178">
        <v>91</v>
      </c>
      <c r="F201" s="225">
        <f t="shared" si="321"/>
        <v>0.27300000000000002</v>
      </c>
      <c r="G201" s="225"/>
      <c r="H201" s="225">
        <f t="shared" si="291"/>
        <v>4.0950000000000006</v>
      </c>
      <c r="I201" s="561">
        <f t="shared" si="292"/>
        <v>7</v>
      </c>
      <c r="J201" s="456">
        <f t="shared" si="293"/>
        <v>10.153129874398219</v>
      </c>
      <c r="K201" s="456">
        <f t="shared" si="294"/>
        <v>22.25</v>
      </c>
      <c r="L201" s="456"/>
      <c r="M201" s="225">
        <f t="shared" si="295"/>
        <v>0.6853932584269663</v>
      </c>
      <c r="N201" s="180">
        <f t="shared" si="296"/>
        <v>3.1305337078651685</v>
      </c>
      <c r="O201" s="180">
        <f t="shared" si="325"/>
        <v>2.7035544557107141</v>
      </c>
      <c r="P201" s="225">
        <f t="shared" si="297"/>
        <v>0.20870224719101124</v>
      </c>
      <c r="Q201" s="225">
        <f t="shared" si="298"/>
        <v>11.467156439066551</v>
      </c>
      <c r="R201" s="225"/>
      <c r="S201" s="180">
        <f t="shared" si="299"/>
        <v>9.9031298743982195</v>
      </c>
      <c r="T201" s="556">
        <f t="shared" si="300"/>
        <v>9.9031298743982195</v>
      </c>
      <c r="U201" s="225">
        <f t="shared" si="301"/>
        <v>1.45</v>
      </c>
      <c r="V201" s="225">
        <f t="shared" si="302"/>
        <v>8.2857142857142847</v>
      </c>
      <c r="W201" s="225">
        <f t="shared" si="303"/>
        <v>5.7125241888465146</v>
      </c>
      <c r="X201" s="205">
        <f t="shared" si="304"/>
        <v>350</v>
      </c>
      <c r="Y201" s="456">
        <f t="shared" si="271"/>
        <v>71.437559934224183</v>
      </c>
      <c r="AA201" s="225">
        <f t="shared" si="305"/>
        <v>0.29595560544178584</v>
      </c>
      <c r="AB201" s="181">
        <f t="shared" si="306"/>
        <v>1.1659679689040805</v>
      </c>
      <c r="AC201" s="181">
        <f t="shared" si="307"/>
        <v>6.0388082328478879E-2</v>
      </c>
      <c r="AD201" s="181"/>
      <c r="AE201" s="181">
        <f t="shared" si="308"/>
        <v>1.142504837769303</v>
      </c>
      <c r="AF201" s="565">
        <f t="shared" si="309"/>
        <v>1647.9217929314589</v>
      </c>
      <c r="AG201" s="548">
        <f t="shared" si="310"/>
        <v>5.7982120516792121E-2</v>
      </c>
      <c r="AI201" s="181">
        <f t="shared" si="311"/>
        <v>0.62926311277678637</v>
      </c>
      <c r="AJ201" s="181">
        <f t="shared" si="312"/>
        <v>1.45</v>
      </c>
      <c r="AK201" s="181">
        <f t="shared" si="313"/>
        <v>2.0592592592592593</v>
      </c>
      <c r="AM201" s="565">
        <f t="shared" si="314"/>
        <v>273</v>
      </c>
      <c r="AN201" s="474">
        <f t="shared" si="315"/>
        <v>71.437559934224183</v>
      </c>
      <c r="AP201" t="str">
        <f t="shared" si="316"/>
        <v/>
      </c>
      <c r="AQ201" t="str">
        <f t="shared" si="317"/>
        <v/>
      </c>
      <c r="AS201" s="6">
        <f t="shared" si="326"/>
        <v>13.9982384745608</v>
      </c>
      <c r="AT201" s="6">
        <f t="shared" si="318"/>
        <v>8.2857142857142847</v>
      </c>
      <c r="AU201" s="6">
        <f t="shared" si="272"/>
        <v>5.7125241888465155</v>
      </c>
      <c r="AV201" s="6"/>
      <c r="AW201" s="181">
        <f t="shared" si="273"/>
        <v>0.59191121088357168</v>
      </c>
      <c r="AX201" s="181">
        <f t="shared" si="322"/>
        <v>3.0039493952341272</v>
      </c>
      <c r="AY201" s="181">
        <f t="shared" si="323"/>
        <v>0.29586437210941052</v>
      </c>
      <c r="AZ201" s="181">
        <f t="shared" si="327"/>
        <v>10.153129874398219</v>
      </c>
      <c r="BD201" s="181">
        <f t="shared" si="328"/>
        <v>0.64407383657535966</v>
      </c>
      <c r="BE201" s="181">
        <f t="shared" si="324"/>
        <v>0.53479175982098881</v>
      </c>
      <c r="BG201" s="548">
        <f t="shared" si="274"/>
        <v>0.14519088743631606</v>
      </c>
      <c r="BH201" s="548">
        <f t="shared" si="275"/>
        <v>2.3047542773779073E-2</v>
      </c>
      <c r="BI201" s="548">
        <f t="shared" si="276"/>
        <v>8.9296949917780225E-4</v>
      </c>
      <c r="BJ201" s="548">
        <f t="shared" si="277"/>
        <v>2.0335482783588694E-3</v>
      </c>
      <c r="BK201">
        <f t="shared" si="278"/>
        <v>2.0300000000000001E-3</v>
      </c>
      <c r="BL201" s="474">
        <f t="shared" si="279"/>
        <v>173.19494798763179</v>
      </c>
      <c r="BM201" s="548">
        <f t="shared" si="280"/>
        <v>9.5549999999999996E-2</v>
      </c>
      <c r="BP201" s="474">
        <f t="shared" si="281"/>
        <v>95.55</v>
      </c>
      <c r="BQ201" s="548">
        <f t="shared" si="282"/>
        <v>0</v>
      </c>
      <c r="BR201" s="548">
        <f t="shared" si="283"/>
        <v>0</v>
      </c>
      <c r="BS201" s="548">
        <f t="shared" si="284"/>
        <v>5.4601747233995858E-3</v>
      </c>
      <c r="BT201" s="548">
        <f t="shared" si="285"/>
        <v>0.15770734324979169</v>
      </c>
      <c r="BU201" s="474">
        <f t="shared" si="286"/>
        <v>163.16751797319125</v>
      </c>
      <c r="BV201" s="181">
        <f t="shared" si="287"/>
        <v>0.43191246596082311</v>
      </c>
      <c r="BW201" s="6">
        <f t="shared" si="288"/>
        <v>2.7035544557107141</v>
      </c>
      <c r="BX201" s="181">
        <f t="shared" si="289"/>
        <v>0.86224939482679408</v>
      </c>
      <c r="BY201" s="6">
        <f t="shared" si="290"/>
        <v>86.224939482679403</v>
      </c>
      <c r="CB201" s="583">
        <f t="shared" si="319"/>
        <v>-50</v>
      </c>
      <c r="CC201">
        <f t="shared" si="320"/>
        <v>-50</v>
      </c>
    </row>
    <row r="202" spans="5:81" x14ac:dyDescent="0.2">
      <c r="E202" s="178">
        <v>92</v>
      </c>
      <c r="F202" s="225">
        <f t="shared" si="321"/>
        <v>0.27600000000000002</v>
      </c>
      <c r="G202" s="225"/>
      <c r="H202" s="225">
        <f t="shared" si="291"/>
        <v>4.1400000000000006</v>
      </c>
      <c r="I202" s="561">
        <f t="shared" si="292"/>
        <v>7</v>
      </c>
      <c r="J202" s="456">
        <f t="shared" si="293"/>
        <v>9.97436284682653</v>
      </c>
      <c r="K202" s="456">
        <f t="shared" si="294"/>
        <v>22.25</v>
      </c>
      <c r="L202" s="456"/>
      <c r="M202" s="225">
        <f t="shared" si="295"/>
        <v>0.6853932584269663</v>
      </c>
      <c r="N202" s="180">
        <f t="shared" si="296"/>
        <v>3.1305337078651685</v>
      </c>
      <c r="O202" s="180">
        <f t="shared" si="325"/>
        <v>2.6839241457241223</v>
      </c>
      <c r="P202" s="225">
        <f t="shared" si="297"/>
        <v>0.20870224719101124</v>
      </c>
      <c r="Q202" s="225">
        <f t="shared" si="298"/>
        <v>11.342513434294087</v>
      </c>
      <c r="R202" s="225"/>
      <c r="S202" s="180">
        <f t="shared" si="299"/>
        <v>9.72436284682653</v>
      </c>
      <c r="T202" s="556">
        <f t="shared" si="300"/>
        <v>9.72436284682653</v>
      </c>
      <c r="U202" s="225">
        <f t="shared" si="301"/>
        <v>1.45</v>
      </c>
      <c r="V202" s="225">
        <f t="shared" si="302"/>
        <v>8.2857142857142847</v>
      </c>
      <c r="W202" s="225">
        <f t="shared" si="303"/>
        <v>5.8149077681140744</v>
      </c>
      <c r="X202" s="205">
        <f t="shared" si="304"/>
        <v>350</v>
      </c>
      <c r="Y202" s="456">
        <f t="shared" si="271"/>
        <v>70.918857067621147</v>
      </c>
      <c r="AA202" s="225">
        <f t="shared" si="305"/>
        <v>0.29380669356585903</v>
      </c>
      <c r="AB202" s="181">
        <f t="shared" si="306"/>
        <v>1.1782474653379482</v>
      </c>
      <c r="AC202" s="181">
        <f t="shared" si="307"/>
        <v>6.0580973598826915E-2</v>
      </c>
      <c r="AD202" s="181"/>
      <c r="AE202" s="181">
        <f t="shared" si="308"/>
        <v>1.162981553622815</v>
      </c>
      <c r="AF202" s="565">
        <f t="shared" si="309"/>
        <v>1636.6968761736757</v>
      </c>
      <c r="AG202" s="548">
        <f t="shared" si="310"/>
        <v>5.9021313846357851E-2</v>
      </c>
      <c r="AI202" s="181">
        <f t="shared" si="311"/>
        <v>0.62711631932249134</v>
      </c>
      <c r="AJ202" s="181">
        <f t="shared" si="312"/>
        <v>1.45</v>
      </c>
      <c r="AK202" s="181">
        <f t="shared" si="313"/>
        <v>2.0592592592592593</v>
      </c>
      <c r="AM202" s="565">
        <f t="shared" si="314"/>
        <v>276</v>
      </c>
      <c r="AN202" s="474">
        <f t="shared" si="315"/>
        <v>70.918857067621147</v>
      </c>
      <c r="AP202" t="str">
        <f t="shared" si="316"/>
        <v/>
      </c>
      <c r="AQ202" t="str">
        <f t="shared" si="317"/>
        <v/>
      </c>
      <c r="AS202" s="6">
        <f t="shared" si="326"/>
        <v>14.10062205382836</v>
      </c>
      <c r="AT202" s="6">
        <f t="shared" si="318"/>
        <v>8.2857142857142847</v>
      </c>
      <c r="AU202" s="6">
        <f t="shared" si="272"/>
        <v>5.8149077681140753</v>
      </c>
      <c r="AV202" s="6"/>
      <c r="AW202" s="181">
        <f t="shared" si="273"/>
        <v>0.58761338713171796</v>
      </c>
      <c r="AX202" s="181">
        <f t="shared" si="322"/>
        <v>2.9821379396934695</v>
      </c>
      <c r="AY202" s="181">
        <f t="shared" si="323"/>
        <v>0.29898029432950446</v>
      </c>
      <c r="AZ202" s="181">
        <f t="shared" si="327"/>
        <v>9.9743628468265282</v>
      </c>
      <c r="BD202" s="181">
        <f t="shared" si="328"/>
        <v>0.64173129019458941</v>
      </c>
      <c r="BE202" s="181">
        <f t="shared" si="324"/>
        <v>0.53760048783322456</v>
      </c>
      <c r="BG202" s="548">
        <f t="shared" si="274"/>
        <v>0.1441366670851843</v>
      </c>
      <c r="BH202" s="548">
        <f t="shared" si="275"/>
        <v>2.288019626144127E-2</v>
      </c>
      <c r="BI202" s="548">
        <f t="shared" si="276"/>
        <v>8.8648571334526438E-4</v>
      </c>
      <c r="BJ202" s="548">
        <f t="shared" si="277"/>
        <v>2.0187828339297536E-3</v>
      </c>
      <c r="BK202">
        <f t="shared" si="278"/>
        <v>2.0300000000000001E-3</v>
      </c>
      <c r="BL202" s="474">
        <f t="shared" si="279"/>
        <v>171.9521318939006</v>
      </c>
      <c r="BM202" s="548">
        <f t="shared" si="280"/>
        <v>9.6600000000000005E-2</v>
      </c>
      <c r="BP202" s="474">
        <f t="shared" si="281"/>
        <v>96.600000000000009</v>
      </c>
      <c r="BQ202" s="548">
        <f t="shared" si="282"/>
        <v>0</v>
      </c>
      <c r="BR202" s="548">
        <f t="shared" si="283"/>
        <v>0</v>
      </c>
      <c r="BS202" s="548">
        <f t="shared" si="284"/>
        <v>5.3615990013488749E-3</v>
      </c>
      <c r="BT202" s="548">
        <f t="shared" si="285"/>
        <v>0.15656224183390716</v>
      </c>
      <c r="BU202" s="474">
        <f t="shared" si="286"/>
        <v>161.92384083525604</v>
      </c>
      <c r="BV202" s="181">
        <f t="shared" si="287"/>
        <v>0.43047597272915661</v>
      </c>
      <c r="BW202" s="6">
        <f t="shared" si="288"/>
        <v>2.6839241457241223</v>
      </c>
      <c r="BX202" s="181">
        <f t="shared" si="289"/>
        <v>0.86177884781774727</v>
      </c>
      <c r="BY202" s="6">
        <f t="shared" si="290"/>
        <v>86.177884781774722</v>
      </c>
      <c r="CB202" s="583">
        <f t="shared" si="319"/>
        <v>-50</v>
      </c>
      <c r="CC202">
        <f t="shared" si="320"/>
        <v>-50</v>
      </c>
    </row>
    <row r="203" spans="5:81" x14ac:dyDescent="0.2">
      <c r="E203" s="178">
        <v>93</v>
      </c>
      <c r="F203" s="225">
        <f t="shared" si="321"/>
        <v>0.27900000000000003</v>
      </c>
      <c r="G203" s="225"/>
      <c r="H203" s="225">
        <f t="shared" si="291"/>
        <v>4.1850000000000005</v>
      </c>
      <c r="I203" s="561">
        <f t="shared" si="292"/>
        <v>7</v>
      </c>
      <c r="J203" s="456">
        <f t="shared" si="293"/>
        <v>9.7995474176507074</v>
      </c>
      <c r="K203" s="456">
        <f t="shared" si="294"/>
        <v>22.25</v>
      </c>
      <c r="L203" s="456"/>
      <c r="M203" s="225">
        <f t="shared" si="295"/>
        <v>0.6853932584269663</v>
      </c>
      <c r="N203" s="180">
        <f t="shared" si="296"/>
        <v>3.1305337078651685</v>
      </c>
      <c r="O203" s="180">
        <f t="shared" si="325"/>
        <v>2.6643237295245474</v>
      </c>
      <c r="P203" s="225">
        <f t="shared" si="297"/>
        <v>0.20870224719101124</v>
      </c>
      <c r="Q203" s="225">
        <f t="shared" si="298"/>
        <v>11.220550924247915</v>
      </c>
      <c r="R203" s="225"/>
      <c r="S203" s="180">
        <f t="shared" si="299"/>
        <v>9.5495474176507074</v>
      </c>
      <c r="T203" s="556">
        <f t="shared" si="300"/>
        <v>9.5495474176507074</v>
      </c>
      <c r="U203" s="225">
        <f t="shared" si="301"/>
        <v>1.45</v>
      </c>
      <c r="V203" s="225">
        <f t="shared" si="302"/>
        <v>8.2857142857142847</v>
      </c>
      <c r="W203" s="225">
        <f t="shared" si="303"/>
        <v>5.9186406808473428</v>
      </c>
      <c r="X203" s="205">
        <f t="shared" si="304"/>
        <v>350</v>
      </c>
      <c r="Y203" s="456">
        <f t="shared" si="271"/>
        <v>70.40094410158666</v>
      </c>
      <c r="AA203" s="225">
        <f t="shared" si="305"/>
        <v>0.2916610541351447</v>
      </c>
      <c r="AB203" s="181">
        <f t="shared" si="306"/>
        <v>1.1905082620848872</v>
      </c>
      <c r="AC203" s="181">
        <f t="shared" si="307"/>
        <v>6.0764356568348533E-2</v>
      </c>
      <c r="AD203" s="181"/>
      <c r="AE203" s="181">
        <f t="shared" si="308"/>
        <v>1.1837281361694687</v>
      </c>
      <c r="AF203" s="565">
        <f t="shared" si="309"/>
        <v>1625.4897321786846</v>
      </c>
      <c r="AG203" s="548">
        <f t="shared" si="310"/>
        <v>6.0074202910600526E-2</v>
      </c>
      <c r="AI203" s="181">
        <f t="shared" si="311"/>
        <v>0.62496556814007731</v>
      </c>
      <c r="AJ203" s="181">
        <f t="shared" si="312"/>
        <v>1.45</v>
      </c>
      <c r="AK203" s="181">
        <f t="shared" si="313"/>
        <v>2.0592592592592593</v>
      </c>
      <c r="AM203" s="565">
        <f t="shared" si="314"/>
        <v>279</v>
      </c>
      <c r="AN203" s="474">
        <f t="shared" si="315"/>
        <v>70.40094410158666</v>
      </c>
      <c r="AP203" t="str">
        <f t="shared" si="316"/>
        <v/>
      </c>
      <c r="AQ203" t="str">
        <f t="shared" si="317"/>
        <v/>
      </c>
      <c r="AS203" s="6">
        <f t="shared" si="326"/>
        <v>14.204354966561628</v>
      </c>
      <c r="AT203" s="6">
        <f t="shared" si="318"/>
        <v>8.2857142857142847</v>
      </c>
      <c r="AU203" s="6">
        <f t="shared" si="272"/>
        <v>5.9186406808473428</v>
      </c>
      <c r="AV203" s="6"/>
      <c r="AW203" s="181">
        <f t="shared" si="273"/>
        <v>0.58332210827028941</v>
      </c>
      <c r="AX203" s="181">
        <f t="shared" si="322"/>
        <v>2.9603596994717192</v>
      </c>
      <c r="AY203" s="181">
        <f t="shared" si="323"/>
        <v>0.30209147150404014</v>
      </c>
      <c r="AZ203" s="181">
        <f t="shared" si="327"/>
        <v>9.7995474176507091</v>
      </c>
      <c r="BD203" s="181">
        <f t="shared" si="328"/>
        <v>0.63938374826554234</v>
      </c>
      <c r="BE203" s="181">
        <f t="shared" si="324"/>
        <v>0.54039037351459063</v>
      </c>
      <c r="BG203" s="548">
        <f t="shared" si="274"/>
        <v>0.14308405214113304</v>
      </c>
      <c r="BH203" s="548">
        <f t="shared" si="275"/>
        <v>2.2713104590774393E-2</v>
      </c>
      <c r="BI203" s="548">
        <f t="shared" si="276"/>
        <v>8.8001180126983324E-4</v>
      </c>
      <c r="BJ203" s="548">
        <f t="shared" si="277"/>
        <v>2.0040398748842753E-3</v>
      </c>
      <c r="BK203">
        <f t="shared" si="278"/>
        <v>2.0300000000000001E-3</v>
      </c>
      <c r="BL203" s="474">
        <f t="shared" si="279"/>
        <v>170.71120840806157</v>
      </c>
      <c r="BM203" s="548">
        <f t="shared" si="280"/>
        <v>9.7650000000000001E-2</v>
      </c>
      <c r="BP203" s="474">
        <f t="shared" si="281"/>
        <v>97.65</v>
      </c>
      <c r="BQ203" s="548">
        <f t="shared" si="282"/>
        <v>0</v>
      </c>
      <c r="BR203" s="548">
        <f t="shared" si="283"/>
        <v>0</v>
      </c>
      <c r="BS203" s="548">
        <f t="shared" si="284"/>
        <v>5.2642465112169613E-3</v>
      </c>
      <c r="BT203" s="548">
        <f t="shared" si="285"/>
        <v>0.15541888422226527</v>
      </c>
      <c r="BU203" s="474">
        <f t="shared" si="286"/>
        <v>160.68313073348222</v>
      </c>
      <c r="BV203" s="181">
        <f t="shared" si="287"/>
        <v>0.42904433914154383</v>
      </c>
      <c r="BW203" s="6">
        <f t="shared" si="288"/>
        <v>2.6643237295245474</v>
      </c>
      <c r="BX203" s="181">
        <f t="shared" si="289"/>
        <v>0.86130187885253673</v>
      </c>
      <c r="BY203" s="6">
        <f t="shared" si="290"/>
        <v>86.130187885253676</v>
      </c>
      <c r="CB203" s="583">
        <f t="shared" si="319"/>
        <v>-50</v>
      </c>
      <c r="CC203">
        <f t="shared" si="320"/>
        <v>-50</v>
      </c>
    </row>
    <row r="204" spans="5:81" x14ac:dyDescent="0.2">
      <c r="E204" s="178">
        <v>94</v>
      </c>
      <c r="F204" s="225">
        <f t="shared" si="321"/>
        <v>0.28199999999999997</v>
      </c>
      <c r="G204" s="225"/>
      <c r="H204" s="225">
        <f t="shared" si="291"/>
        <v>4.2299999999999995</v>
      </c>
      <c r="I204" s="561">
        <f t="shared" si="292"/>
        <v>7</v>
      </c>
      <c r="J204" s="456">
        <f t="shared" si="293"/>
        <v>9.6285594780584933</v>
      </c>
      <c r="K204" s="456">
        <f t="shared" si="294"/>
        <v>22.25</v>
      </c>
      <c r="L204" s="456"/>
      <c r="M204" s="225">
        <f t="shared" si="295"/>
        <v>0.6853932584269663</v>
      </c>
      <c r="N204" s="180">
        <f t="shared" si="296"/>
        <v>3.1305337078651685</v>
      </c>
      <c r="O204" s="180">
        <f t="shared" si="325"/>
        <v>2.644753772812495</v>
      </c>
      <c r="P204" s="225">
        <f t="shared" si="297"/>
        <v>0.20870224719101124</v>
      </c>
      <c r="Q204" s="225">
        <f t="shared" si="298"/>
        <v>11.101183361224003</v>
      </c>
      <c r="R204" s="225"/>
      <c r="S204" s="180">
        <f t="shared" si="299"/>
        <v>9.3785594780584933</v>
      </c>
      <c r="T204" s="556">
        <f t="shared" si="300"/>
        <v>9.3785594780584933</v>
      </c>
      <c r="U204" s="225">
        <f t="shared" si="301"/>
        <v>1.45</v>
      </c>
      <c r="V204" s="225">
        <f t="shared" si="302"/>
        <v>8.2857142857142847</v>
      </c>
      <c r="W204" s="225">
        <f t="shared" si="303"/>
        <v>6.0237463487835408</v>
      </c>
      <c r="X204" s="205">
        <f t="shared" si="304"/>
        <v>349.41917991973764</v>
      </c>
      <c r="Y204" s="456">
        <f t="shared" si="271"/>
        <v>69.883835983947549</v>
      </c>
      <c r="AA204" s="225">
        <f t="shared" si="305"/>
        <v>0.29000000000000004</v>
      </c>
      <c r="AB204" s="181">
        <f t="shared" si="306"/>
        <v>1.2047492697567084</v>
      </c>
      <c r="AC204" s="181">
        <f t="shared" si="307"/>
        <v>6.1039562767857318E-2</v>
      </c>
      <c r="AD204" s="181"/>
      <c r="AE204" s="181">
        <f t="shared" si="308"/>
        <v>1.2047492697567082</v>
      </c>
      <c r="AF204" s="565">
        <f t="shared" si="309"/>
        <v>1614.3006972725891</v>
      </c>
      <c r="AG204" s="548">
        <f t="shared" si="310"/>
        <v>6.1039562767857297E-2</v>
      </c>
      <c r="AI204" s="181">
        <f t="shared" si="311"/>
        <v>0.62281088310663824</v>
      </c>
      <c r="AJ204" s="181">
        <f t="shared" si="312"/>
        <v>1.45</v>
      </c>
      <c r="AK204" s="181">
        <f t="shared" si="313"/>
        <v>2.0592592592592593</v>
      </c>
      <c r="AM204" s="565">
        <f t="shared" si="314"/>
        <v>282</v>
      </c>
      <c r="AN204" s="474">
        <f t="shared" si="315"/>
        <v>69.883835983947549</v>
      </c>
      <c r="AP204" t="str">
        <f t="shared" si="316"/>
        <v/>
      </c>
      <c r="AQ204" t="str">
        <f t="shared" si="317"/>
        <v/>
      </c>
      <c r="AS204" s="6">
        <f t="shared" si="326"/>
        <v>14.309460634497825</v>
      </c>
      <c r="AT204" s="6">
        <f t="shared" si="318"/>
        <v>8.2857142857142847</v>
      </c>
      <c r="AU204" s="6">
        <f t="shared" si="272"/>
        <v>6.0237463487835399</v>
      </c>
      <c r="AV204" s="6"/>
      <c r="AW204" s="181">
        <f t="shared" si="273"/>
        <v>0.57903749815270822</v>
      </c>
      <c r="AX204" s="181">
        <f t="shared" si="322"/>
        <v>2.9386153031249944</v>
      </c>
      <c r="AY204" s="181">
        <f t="shared" si="323"/>
        <v>0.30519781383928651</v>
      </c>
      <c r="AZ204" s="181">
        <f t="shared" si="327"/>
        <v>9.6285594780584951</v>
      </c>
      <c r="BD204" s="181">
        <f t="shared" si="328"/>
        <v>0.63703122368951137</v>
      </c>
      <c r="BE204" s="181">
        <f t="shared" si="324"/>
        <v>0.54316162730625306</v>
      </c>
      <c r="BG204" s="548">
        <f t="shared" si="274"/>
        <v>0.1420330729843747</v>
      </c>
      <c r="BH204" s="548">
        <f t="shared" si="275"/>
        <v>2.2546272584321077E-2</v>
      </c>
      <c r="BI204" s="548">
        <f t="shared" si="276"/>
        <v>8.7354794979934433E-4</v>
      </c>
      <c r="BJ204" s="548">
        <f t="shared" si="277"/>
        <v>1.9893198267286745E-3</v>
      </c>
      <c r="BK204">
        <f t="shared" si="278"/>
        <v>2.0300000000000001E-3</v>
      </c>
      <c r="BL204" s="474">
        <f t="shared" si="279"/>
        <v>169.47221334522379</v>
      </c>
      <c r="BM204" s="548">
        <f t="shared" si="280"/>
        <v>9.8699999999999982E-2</v>
      </c>
      <c r="BP204" s="474">
        <f t="shared" si="281"/>
        <v>98.699999999999989</v>
      </c>
      <c r="BQ204" s="548">
        <f t="shared" si="282"/>
        <v>0</v>
      </c>
      <c r="BR204" s="548">
        <f t="shared" si="283"/>
        <v>0</v>
      </c>
      <c r="BS204" s="548">
        <f t="shared" si="284"/>
        <v>5.1681111966545229E-3</v>
      </c>
      <c r="BT204" s="548">
        <f t="shared" si="285"/>
        <v>0.15427730341406223</v>
      </c>
      <c r="BU204" s="474">
        <f t="shared" si="286"/>
        <v>159.44541461071677</v>
      </c>
      <c r="BV204" s="181">
        <f t="shared" si="287"/>
        <v>0.42761762795594049</v>
      </c>
      <c r="BW204" s="6">
        <f t="shared" si="288"/>
        <v>2.644753772812495</v>
      </c>
      <c r="BX204" s="181">
        <f t="shared" si="289"/>
        <v>0.86081838027492752</v>
      </c>
      <c r="BY204" s="6">
        <f t="shared" si="290"/>
        <v>86.081838027492751</v>
      </c>
      <c r="CB204" s="583">
        <f t="shared" si="319"/>
        <v>-50</v>
      </c>
      <c r="CC204">
        <f t="shared" si="320"/>
        <v>-50</v>
      </c>
    </row>
    <row r="205" spans="5:81" x14ac:dyDescent="0.2">
      <c r="E205" s="178">
        <v>95</v>
      </c>
      <c r="F205" s="225">
        <f t="shared" si="321"/>
        <v>0.28499999999999998</v>
      </c>
      <c r="G205" s="225"/>
      <c r="H205" s="225">
        <f t="shared" si="291"/>
        <v>4.2749999999999995</v>
      </c>
      <c r="I205" s="561">
        <f t="shared" si="292"/>
        <v>7</v>
      </c>
      <c r="J205" s="456">
        <f t="shared" si="293"/>
        <v>9.4612801880764703</v>
      </c>
      <c r="K205" s="456">
        <f t="shared" si="294"/>
        <v>22.25</v>
      </c>
      <c r="L205" s="456"/>
      <c r="M205" s="225">
        <f t="shared" si="295"/>
        <v>0.6853932584269663</v>
      </c>
      <c r="N205" s="180">
        <f t="shared" si="296"/>
        <v>3.1305337078651685</v>
      </c>
      <c r="O205" s="180">
        <f t="shared" si="325"/>
        <v>2.6252148536017939</v>
      </c>
      <c r="P205" s="225">
        <f t="shared" si="297"/>
        <v>0.20870224719101124</v>
      </c>
      <c r="Q205" s="225">
        <f t="shared" si="298"/>
        <v>10.984328799526908</v>
      </c>
      <c r="R205" s="225"/>
      <c r="S205" s="180">
        <f t="shared" si="299"/>
        <v>9.2112801880764703</v>
      </c>
      <c r="T205" s="556">
        <f t="shared" si="300"/>
        <v>9.2112801880764703</v>
      </c>
      <c r="U205" s="225">
        <f t="shared" si="301"/>
        <v>1.45</v>
      </c>
      <c r="V205" s="225">
        <f t="shared" si="302"/>
        <v>8.2857142857142847</v>
      </c>
      <c r="W205" s="225">
        <f t="shared" si="303"/>
        <v>6.130248639406557</v>
      </c>
      <c r="X205" s="205">
        <f t="shared" si="304"/>
        <v>346.83773993946278</v>
      </c>
      <c r="Y205" s="456">
        <f t="shared" si="271"/>
        <v>69.367547987892564</v>
      </c>
      <c r="AA205" s="225">
        <f t="shared" si="305"/>
        <v>0.28999999999999992</v>
      </c>
      <c r="AB205" s="181">
        <f t="shared" si="306"/>
        <v>1.2260497278813112</v>
      </c>
      <c r="AC205" s="181">
        <f t="shared" si="307"/>
        <v>6.1659845917403346E-2</v>
      </c>
      <c r="AD205" s="181"/>
      <c r="AE205" s="181">
        <f t="shared" si="308"/>
        <v>1.2260497278813116</v>
      </c>
      <c r="AF205" s="565">
        <f t="shared" si="309"/>
        <v>1603.1301151021366</v>
      </c>
      <c r="AG205" s="548">
        <f t="shared" si="310"/>
        <v>6.1659845917403373E-2</v>
      </c>
      <c r="AI205" s="181">
        <f t="shared" si="311"/>
        <v>0.62065228977282949</v>
      </c>
      <c r="AJ205" s="181">
        <f t="shared" si="312"/>
        <v>1.45</v>
      </c>
      <c r="AK205" s="181">
        <f t="shared" si="313"/>
        <v>2.0592592592592593</v>
      </c>
      <c r="AM205" s="565">
        <f t="shared" si="314"/>
        <v>285</v>
      </c>
      <c r="AN205" s="474">
        <f t="shared" si="315"/>
        <v>69.367547987892564</v>
      </c>
      <c r="AP205" t="str">
        <f t="shared" si="316"/>
        <v/>
      </c>
      <c r="AQ205" t="str">
        <f t="shared" si="317"/>
        <v/>
      </c>
      <c r="AS205" s="6">
        <f t="shared" si="326"/>
        <v>14.415962925120841</v>
      </c>
      <c r="AT205" s="6">
        <f t="shared" si="318"/>
        <v>8.2857142857142847</v>
      </c>
      <c r="AU205" s="6">
        <f t="shared" si="272"/>
        <v>6.1302486394065561</v>
      </c>
      <c r="AV205" s="6"/>
      <c r="AW205" s="181">
        <f t="shared" si="273"/>
        <v>0.57475968332825267</v>
      </c>
      <c r="AX205" s="181">
        <f t="shared" si="322"/>
        <v>2.9169053928908828</v>
      </c>
      <c r="AY205" s="181">
        <f t="shared" si="323"/>
        <v>0.30829922958701683</v>
      </c>
      <c r="AZ205" s="181">
        <f t="shared" si="327"/>
        <v>9.4612801880764739</v>
      </c>
      <c r="BD205" s="181">
        <f t="shared" si="328"/>
        <v>0.63467373092995616</v>
      </c>
      <c r="BE205" s="181">
        <f t="shared" si="324"/>
        <v>0.54591445172369535</v>
      </c>
      <c r="BG205" s="548">
        <f t="shared" si="274"/>
        <v>0.14098376065639262</v>
      </c>
      <c r="BH205" s="548">
        <f t="shared" si="275"/>
        <v>2.2379705169593835E-2</v>
      </c>
      <c r="BI205" s="548">
        <f t="shared" si="276"/>
        <v>8.6709434984865699E-4</v>
      </c>
      <c r="BJ205" s="548">
        <f t="shared" si="277"/>
        <v>1.9746231242309732E-3</v>
      </c>
      <c r="BK205">
        <f t="shared" si="278"/>
        <v>2.0300000000000001E-3</v>
      </c>
      <c r="BL205" s="474">
        <f t="shared" si="279"/>
        <v>168.2351833000661</v>
      </c>
      <c r="BM205" s="548">
        <f t="shared" si="280"/>
        <v>9.9749999999999991E-2</v>
      </c>
      <c r="BP205" s="474">
        <f t="shared" si="281"/>
        <v>99.749999999999986</v>
      </c>
      <c r="BQ205" s="548">
        <f t="shared" si="282"/>
        <v>0</v>
      </c>
      <c r="BR205" s="548">
        <f t="shared" si="283"/>
        <v>0</v>
      </c>
      <c r="BS205" s="548">
        <f t="shared" si="284"/>
        <v>5.0731869674717853E-3</v>
      </c>
      <c r="BT205" s="548">
        <f t="shared" si="285"/>
        <v>0.15313753312677134</v>
      </c>
      <c r="BU205" s="474">
        <f t="shared" si="286"/>
        <v>158.2107200942431</v>
      </c>
      <c r="BV205" s="181">
        <f t="shared" si="287"/>
        <v>0.42619590339430924</v>
      </c>
      <c r="BW205" s="6">
        <f t="shared" si="288"/>
        <v>2.6252148536017939</v>
      </c>
      <c r="BX205" s="181">
        <f t="shared" si="289"/>
        <v>0.86032824246386663</v>
      </c>
      <c r="BY205" s="6">
        <f t="shared" si="290"/>
        <v>86.032824246386667</v>
      </c>
      <c r="CB205" s="583">
        <f t="shared" si="319"/>
        <v>-50</v>
      </c>
      <c r="CC205">
        <f t="shared" si="320"/>
        <v>-50</v>
      </c>
    </row>
    <row r="206" spans="5:81" x14ac:dyDescent="0.2">
      <c r="E206" s="178">
        <v>96</v>
      </c>
      <c r="F206" s="225">
        <f t="shared" si="321"/>
        <v>0.28799999999999998</v>
      </c>
      <c r="G206" s="225"/>
      <c r="H206" s="225">
        <f t="shared" ref="H206:H210" si="329">F206*Vout</f>
        <v>4.3199999999999994</v>
      </c>
      <c r="I206" s="561">
        <f t="shared" si="292"/>
        <v>7</v>
      </c>
      <c r="J206" s="456">
        <f t="shared" si="293"/>
        <v>9.2975957030602565</v>
      </c>
      <c r="K206" s="456">
        <f t="shared" si="294"/>
        <v>22.25</v>
      </c>
      <c r="L206" s="456"/>
      <c r="M206" s="225">
        <f t="shared" si="295"/>
        <v>0.6853932584269663</v>
      </c>
      <c r="N206" s="180">
        <f t="shared" ref="N206:N210" si="330">M206*I206*Isw_max*0.5*Efficiency</f>
        <v>3.1305337078651685</v>
      </c>
      <c r="O206" s="180">
        <f t="shared" si="325"/>
        <v>2.6057075624813537</v>
      </c>
      <c r="P206" s="225">
        <f t="shared" ref="P206:P210" si="331">N206/Vout</f>
        <v>0.20870224719101124</v>
      </c>
      <c r="Q206" s="225">
        <f t="shared" si="298"/>
        <v>10.86990870786517</v>
      </c>
      <c r="R206" s="225"/>
      <c r="S206" s="180">
        <f t="shared" si="299"/>
        <v>9.0475957030602565</v>
      </c>
      <c r="T206" s="556">
        <f t="shared" ref="T206:T210" si="332">MIN(Vout, S206)</f>
        <v>9.0475957030602565</v>
      </c>
      <c r="U206" s="225">
        <f t="shared" si="301"/>
        <v>1.45</v>
      </c>
      <c r="V206" s="225">
        <f t="shared" ref="V206:V210" si="333">L*U206/I206*1000000</f>
        <v>8.2857142857142847</v>
      </c>
      <c r="W206" s="225">
        <f t="shared" si="303"/>
        <v>6.2381718728541395</v>
      </c>
      <c r="X206" s="205">
        <f t="shared" si="304"/>
        <v>344.26047859444492</v>
      </c>
      <c r="Y206" s="456">
        <f t="shared" si="271"/>
        <v>68.852095718888989</v>
      </c>
      <c r="AA206" s="225">
        <f t="shared" si="305"/>
        <v>0.28999999999999992</v>
      </c>
      <c r="AB206" s="181">
        <f t="shared" ref="AB206:AB210" si="334">L*AA206/J206*1000000</f>
        <v>1.2476343745708276</v>
      </c>
      <c r="AC206" s="181">
        <f t="shared" ref="AC206:AC210" si="335">0.5*AB206*AA206*Nps*X206/1000</f>
        <v>6.227912500059192E-2</v>
      </c>
      <c r="AD206" s="181"/>
      <c r="AE206" s="181">
        <f t="shared" si="308"/>
        <v>1.2476343745708278</v>
      </c>
      <c r="AF206" s="565">
        <f t="shared" ref="AF206:AF210" si="336">MAX(10000,F206/(0.5*AE206/1000000*Isw_min*Nps))/1000</f>
        <v>1591.9783367903412</v>
      </c>
      <c r="AG206" s="548">
        <f t="shared" si="310"/>
        <v>6.2279125000591955E-2</v>
      </c>
      <c r="AI206" s="181">
        <f t="shared" si="311"/>
        <v>0.61848981542386816</v>
      </c>
      <c r="AJ206" s="181">
        <f t="shared" ref="AJ206:AJ210" si="337">MAX(IF(F206&gt;AC206,U206,AI206),Isw_min)</f>
        <v>1.45</v>
      </c>
      <c r="AK206" s="181">
        <f t="shared" ref="AK206:AK210" si="338">IF(F206&gt;AG206, (AJ206-Isw_min)/1.08*0.8+1.2, AF206*0.2/350+1)</f>
        <v>2.0592592592592593</v>
      </c>
      <c r="AM206" s="565">
        <f t="shared" si="314"/>
        <v>288</v>
      </c>
      <c r="AN206" s="474">
        <f t="shared" si="315"/>
        <v>68.852095718888989</v>
      </c>
      <c r="AP206" t="str">
        <f t="shared" si="316"/>
        <v/>
      </c>
      <c r="AQ206" t="str">
        <f t="shared" si="317"/>
        <v/>
      </c>
      <c r="AS206" s="6">
        <f t="shared" si="326"/>
        <v>14.523886158568423</v>
      </c>
      <c r="AT206" s="6">
        <f t="shared" si="318"/>
        <v>8.2857142857142847</v>
      </c>
      <c r="AU206" s="6">
        <f t="shared" si="272"/>
        <v>6.2381718728541387</v>
      </c>
      <c r="AV206" s="6"/>
      <c r="AW206" s="181">
        <f t="shared" si="273"/>
        <v>0.57048879309936584</v>
      </c>
      <c r="AX206" s="181">
        <f t="shared" si="322"/>
        <v>2.8952306249792823</v>
      </c>
      <c r="AY206" s="181">
        <f t="shared" si="323"/>
        <v>0.31139562500295975</v>
      </c>
      <c r="AZ206" s="181">
        <f t="shared" si="327"/>
        <v>9.2975957030602583</v>
      </c>
      <c r="BD206" s="181">
        <f t="shared" si="328"/>
        <v>0.63231128607446108</v>
      </c>
      <c r="BE206" s="181">
        <f t="shared" si="324"/>
        <v>0.54864904158869576</v>
      </c>
      <c r="BG206" s="548">
        <f t="shared" si="274"/>
        <v>0.13993614687399863</v>
      </c>
      <c r="BH206" s="548">
        <f t="shared" si="275"/>
        <v>2.2213407381306557E-2</v>
      </c>
      <c r="BI206" s="548">
        <f t="shared" si="276"/>
        <v>8.6065119648611225E-4</v>
      </c>
      <c r="BJ206" s="548">
        <f t="shared" si="277"/>
        <v>1.9599502116178676E-3</v>
      </c>
      <c r="BK206">
        <f t="shared" si="278"/>
        <v>2.0300000000000001E-3</v>
      </c>
      <c r="BL206" s="474">
        <f t="shared" si="279"/>
        <v>167.0001556634092</v>
      </c>
      <c r="BM206" s="548">
        <f t="shared" si="280"/>
        <v>0.10079999999999999</v>
      </c>
      <c r="BP206" s="474">
        <f t="shared" si="281"/>
        <v>100.79999999999998</v>
      </c>
      <c r="BQ206" s="548">
        <f t="shared" si="282"/>
        <v>0</v>
      </c>
      <c r="BR206" s="548">
        <f t="shared" si="283"/>
        <v>0</v>
      </c>
      <c r="BS206" s="548">
        <f t="shared" si="284"/>
        <v>4.9794676991175447E-3</v>
      </c>
      <c r="BT206" s="548">
        <f t="shared" si="285"/>
        <v>0.15199960781141234</v>
      </c>
      <c r="BU206" s="474">
        <f t="shared" si="286"/>
        <v>156.9790755105299</v>
      </c>
      <c r="BV206" s="181">
        <f t="shared" si="287"/>
        <v>0.42477923117393912</v>
      </c>
      <c r="BW206" s="6">
        <f t="shared" si="288"/>
        <v>2.6057075624813537</v>
      </c>
      <c r="BX206" s="181">
        <f t="shared" si="289"/>
        <v>0.85983135380650122</v>
      </c>
      <c r="BY206" s="6">
        <f t="shared" si="290"/>
        <v>85.983135380650126</v>
      </c>
      <c r="CB206" s="583">
        <f t="shared" si="319"/>
        <v>-50</v>
      </c>
      <c r="CC206">
        <f t="shared" si="320"/>
        <v>-50</v>
      </c>
    </row>
    <row r="207" spans="5:81" x14ac:dyDescent="0.2">
      <c r="E207" s="178">
        <v>97</v>
      </c>
      <c r="F207" s="225">
        <f t="shared" ref="F207:F210" si="339">IF(PLOT_TYPE=1, E207/100*Iout_max, min_I*EXP(N207*rr/100))</f>
        <v>0.29099999999999998</v>
      </c>
      <c r="G207" s="225"/>
      <c r="H207" s="225">
        <f t="shared" si="329"/>
        <v>4.3649999999999993</v>
      </c>
      <c r="I207" s="561">
        <f t="shared" si="292"/>
        <v>7</v>
      </c>
      <c r="J207" s="456">
        <f t="shared" si="293"/>
        <v>9.1373969171138736</v>
      </c>
      <c r="K207" s="456">
        <f t="shared" si="294"/>
        <v>22.25</v>
      </c>
      <c r="L207" s="456"/>
      <c r="M207" s="225">
        <f t="shared" si="295"/>
        <v>0.6853932584269663</v>
      </c>
      <c r="N207" s="180">
        <f t="shared" si="330"/>
        <v>3.1305337078651685</v>
      </c>
      <c r="O207" s="180">
        <f t="shared" si="325"/>
        <v>2.586232502880137</v>
      </c>
      <c r="P207" s="225">
        <f t="shared" si="331"/>
        <v>0.20870224719101124</v>
      </c>
      <c r="Q207" s="225">
        <f t="shared" si="298"/>
        <v>10.757847793351095</v>
      </c>
      <c r="R207" s="225"/>
      <c r="S207" s="180">
        <f t="shared" si="299"/>
        <v>8.8873969171138736</v>
      </c>
      <c r="T207" s="556">
        <f t="shared" si="332"/>
        <v>8.8873969171138736</v>
      </c>
      <c r="U207" s="225">
        <f t="shared" si="301"/>
        <v>1.45</v>
      </c>
      <c r="V207" s="225">
        <f t="shared" si="333"/>
        <v>8.2857142857142847</v>
      </c>
      <c r="W207" s="225">
        <f t="shared" si="303"/>
        <v>6.3475408287637141</v>
      </c>
      <c r="X207" s="205">
        <f t="shared" si="304"/>
        <v>341.68747560842075</v>
      </c>
      <c r="Y207" s="456">
        <f t="shared" si="271"/>
        <v>68.337495121684157</v>
      </c>
      <c r="AA207" s="225">
        <f t="shared" si="305"/>
        <v>0.29000000000000004</v>
      </c>
      <c r="AB207" s="181">
        <f t="shared" si="334"/>
        <v>1.2695081657527432</v>
      </c>
      <c r="AC207" s="181">
        <f t="shared" si="335"/>
        <v>6.2897380860948066E-2</v>
      </c>
      <c r="AD207" s="181"/>
      <c r="AE207" s="181">
        <f t="shared" si="308"/>
        <v>1.2695081657527429</v>
      </c>
      <c r="AF207" s="565">
        <f t="shared" si="336"/>
        <v>1580.8457210940171</v>
      </c>
      <c r="AG207" s="548">
        <f t="shared" si="310"/>
        <v>6.2897380860948038E-2</v>
      </c>
      <c r="AI207" s="181">
        <f t="shared" si="311"/>
        <v>0.61632348914234236</v>
      </c>
      <c r="AJ207" s="181">
        <f t="shared" si="337"/>
        <v>1.45</v>
      </c>
      <c r="AK207" s="181">
        <f t="shared" si="338"/>
        <v>2.0592592592592593</v>
      </c>
      <c r="AM207" s="565">
        <f t="shared" si="314"/>
        <v>291</v>
      </c>
      <c r="AN207" s="474">
        <f t="shared" si="315"/>
        <v>68.337495121684157</v>
      </c>
      <c r="AP207" t="str">
        <f t="shared" si="316"/>
        <v/>
      </c>
      <c r="AQ207" t="str">
        <f t="shared" si="317"/>
        <v/>
      </c>
      <c r="AS207" s="6">
        <f t="shared" si="326"/>
        <v>14.633255114477999</v>
      </c>
      <c r="AT207" s="6">
        <f t="shared" si="318"/>
        <v>8.2857142857142847</v>
      </c>
      <c r="AU207" s="6">
        <f t="shared" si="272"/>
        <v>6.3475408287637141</v>
      </c>
      <c r="AV207" s="6"/>
      <c r="AW207" s="181">
        <f t="shared" si="273"/>
        <v>0.56622495957966867</v>
      </c>
      <c r="AX207" s="181">
        <f t="shared" si="322"/>
        <v>2.8735916698668191</v>
      </c>
      <c r="AY207" s="181">
        <f t="shared" si="323"/>
        <v>0.31448690430474019</v>
      </c>
      <c r="AZ207" s="181">
        <f t="shared" si="327"/>
        <v>9.1373969171138754</v>
      </c>
      <c r="BD207" s="181">
        <f t="shared" si="328"/>
        <v>0.62994390689866275</v>
      </c>
      <c r="BE207" s="181">
        <f t="shared" si="324"/>
        <v>0.55136558424930937</v>
      </c>
      <c r="BG207" s="548">
        <f t="shared" si="274"/>
        <v>0.13889026404356286</v>
      </c>
      <c r="BH207" s="548">
        <f t="shared" si="275"/>
        <v>2.2047384363633349E-2</v>
      </c>
      <c r="BI207" s="548">
        <f t="shared" si="276"/>
        <v>8.5421868902105192E-4</v>
      </c>
      <c r="BJ207" s="548">
        <f t="shared" si="277"/>
        <v>1.9453015427740286E-3</v>
      </c>
      <c r="BK207">
        <f t="shared" si="278"/>
        <v>2.0300000000000001E-3</v>
      </c>
      <c r="BL207" s="474">
        <f t="shared" si="279"/>
        <v>165.76716863899131</v>
      </c>
      <c r="BM207" s="548">
        <f t="shared" si="280"/>
        <v>0.10184999999999998</v>
      </c>
      <c r="BP207" s="474">
        <f t="shared" si="281"/>
        <v>101.84999999999998</v>
      </c>
      <c r="BQ207" s="548">
        <f t="shared" si="282"/>
        <v>0</v>
      </c>
      <c r="BR207" s="548">
        <f t="shared" si="283"/>
        <v>0</v>
      </c>
      <c r="BS207" s="548">
        <f t="shared" si="284"/>
        <v>4.8869472321486154E-3</v>
      </c>
      <c r="BT207" s="548">
        <f t="shared" si="285"/>
        <v>0.15086356266800802</v>
      </c>
      <c r="BU207" s="474">
        <f t="shared" si="286"/>
        <v>155.75050990015663</v>
      </c>
      <c r="BV207" s="181">
        <f t="shared" si="287"/>
        <v>0.42336767853914792</v>
      </c>
      <c r="BW207" s="6">
        <f t="shared" si="288"/>
        <v>2.586232502880137</v>
      </c>
      <c r="BX207" s="181">
        <f t="shared" si="289"/>
        <v>0.85932760067169667</v>
      </c>
      <c r="BY207" s="6">
        <f t="shared" si="290"/>
        <v>85.932760067169667</v>
      </c>
      <c r="CB207" s="583">
        <f t="shared" si="319"/>
        <v>-50</v>
      </c>
      <c r="CC207">
        <f t="shared" si="320"/>
        <v>-50</v>
      </c>
    </row>
    <row r="208" spans="5:81" x14ac:dyDescent="0.2">
      <c r="E208" s="178">
        <v>98</v>
      </c>
      <c r="F208" s="225">
        <f t="shared" si="339"/>
        <v>0.29399999999999998</v>
      </c>
      <c r="G208" s="225"/>
      <c r="H208" s="225">
        <f t="shared" si="329"/>
        <v>4.41</v>
      </c>
      <c r="I208" s="561">
        <f t="shared" si="292"/>
        <v>7</v>
      </c>
      <c r="J208" s="456">
        <f t="shared" si="293"/>
        <v>8.9805792222284531</v>
      </c>
      <c r="K208" s="456">
        <f t="shared" si="294"/>
        <v>22.25</v>
      </c>
      <c r="L208" s="456"/>
      <c r="M208" s="225">
        <f t="shared" si="295"/>
        <v>0.6853932584269663</v>
      </c>
      <c r="N208" s="180">
        <f t="shared" si="330"/>
        <v>3.1305337078651685</v>
      </c>
      <c r="O208" s="180">
        <f t="shared" si="325"/>
        <v>2.566790291335165</v>
      </c>
      <c r="P208" s="225">
        <f t="shared" si="331"/>
        <v>0.20870224719101124</v>
      </c>
      <c r="Q208" s="225">
        <f t="shared" si="298"/>
        <v>10.648073836276083</v>
      </c>
      <c r="R208" s="225"/>
      <c r="S208" s="180">
        <f t="shared" si="299"/>
        <v>8.7305792222284531</v>
      </c>
      <c r="T208" s="556">
        <f t="shared" si="332"/>
        <v>8.7305792222284531</v>
      </c>
      <c r="U208" s="225">
        <f t="shared" si="301"/>
        <v>1.45</v>
      </c>
      <c r="V208" s="225">
        <f t="shared" si="333"/>
        <v>8.2857142857142847</v>
      </c>
      <c r="W208" s="225">
        <f t="shared" si="303"/>
        <v>6.4583807530409825</v>
      </c>
      <c r="X208" s="205">
        <f t="shared" si="304"/>
        <v>339.11881243693557</v>
      </c>
      <c r="Y208" s="456">
        <f t="shared" si="271"/>
        <v>67.823762487387114</v>
      </c>
      <c r="AA208" s="225">
        <f t="shared" si="305"/>
        <v>0.29000000000000004</v>
      </c>
      <c r="AB208" s="181">
        <f t="shared" si="334"/>
        <v>1.2916761506081968</v>
      </c>
      <c r="AC208" s="181">
        <f t="shared" si="335"/>
        <v>6.3514593925867793E-2</v>
      </c>
      <c r="AD208" s="181"/>
      <c r="AE208" s="181">
        <f t="shared" si="308"/>
        <v>1.2916761506081966</v>
      </c>
      <c r="AF208" s="565">
        <f t="shared" si="336"/>
        <v>1569.7326345631182</v>
      </c>
      <c r="AG208" s="548">
        <f t="shared" si="310"/>
        <v>6.3514593925867779E-2</v>
      </c>
      <c r="AI208" s="181">
        <f t="shared" si="311"/>
        <v>0.61415334187285431</v>
      </c>
      <c r="AJ208" s="181">
        <f t="shared" si="337"/>
        <v>1.45</v>
      </c>
      <c r="AK208" s="181">
        <f t="shared" si="338"/>
        <v>2.0592592592592593</v>
      </c>
      <c r="AM208" s="565">
        <f t="shared" si="314"/>
        <v>294</v>
      </c>
      <c r="AN208" s="474">
        <f t="shared" si="315"/>
        <v>67.823762487387114</v>
      </c>
      <c r="AP208" t="str">
        <f t="shared" si="316"/>
        <v/>
      </c>
      <c r="AQ208" t="str">
        <f t="shared" si="317"/>
        <v/>
      </c>
      <c r="AS208" s="6">
        <f t="shared" si="326"/>
        <v>14.744095038755269</v>
      </c>
      <c r="AT208" s="6">
        <f t="shared" si="318"/>
        <v>8.2857142857142847</v>
      </c>
      <c r="AU208" s="6">
        <f t="shared" si="272"/>
        <v>6.4583807530409842</v>
      </c>
      <c r="AV208" s="6"/>
      <c r="AW208" s="181">
        <f t="shared" si="273"/>
        <v>0.561968317752636</v>
      </c>
      <c r="AX208" s="181">
        <f t="shared" si="322"/>
        <v>2.8519892125946287</v>
      </c>
      <c r="AY208" s="181">
        <f t="shared" si="323"/>
        <v>0.3175729696293389</v>
      </c>
      <c r="AZ208" s="181">
        <f t="shared" si="327"/>
        <v>8.9805792222284531</v>
      </c>
      <c r="BD208" s="181">
        <f t="shared" si="328"/>
        <v>0.62757161293218622</v>
      </c>
      <c r="BE208" s="181">
        <f t="shared" si="324"/>
        <v>0.55406425978854434</v>
      </c>
      <c r="BG208" s="548">
        <f t="shared" si="274"/>
        <v>0.13784614527540701</v>
      </c>
      <c r="BH208" s="548">
        <f t="shared" si="275"/>
        <v>2.1881641372493262E-2</v>
      </c>
      <c r="BI208" s="548">
        <f t="shared" si="276"/>
        <v>8.4779703109233884E-4</v>
      </c>
      <c r="BJ208" s="548">
        <f t="shared" si="277"/>
        <v>1.9306775814436948E-3</v>
      </c>
      <c r="BK208">
        <f t="shared" si="278"/>
        <v>2.0300000000000001E-3</v>
      </c>
      <c r="BL208" s="474">
        <f t="shared" si="279"/>
        <v>164.53626126043631</v>
      </c>
      <c r="BM208" s="548">
        <f t="shared" si="280"/>
        <v>0.10289999999999999</v>
      </c>
      <c r="BP208" s="474">
        <f t="shared" si="281"/>
        <v>102.89999999999999</v>
      </c>
      <c r="BQ208" s="548">
        <f t="shared" si="282"/>
        <v>0</v>
      </c>
      <c r="BR208" s="548">
        <f t="shared" si="283"/>
        <v>0</v>
      </c>
      <c r="BS208" s="548">
        <f t="shared" si="284"/>
        <v>4.7956193716898387E-3</v>
      </c>
      <c r="BT208" s="548">
        <f t="shared" si="285"/>
        <v>0.14972943366121799</v>
      </c>
      <c r="BU208" s="474">
        <f t="shared" si="286"/>
        <v>154.52505303290783</v>
      </c>
      <c r="BV208" s="181">
        <f t="shared" si="287"/>
        <v>0.4219613142933441</v>
      </c>
      <c r="BW208" s="6">
        <f t="shared" si="288"/>
        <v>2.566790291335165</v>
      </c>
      <c r="BX208" s="181">
        <f t="shared" si="289"/>
        <v>0.85881686738412999</v>
      </c>
      <c r="BY208" s="6">
        <f t="shared" si="290"/>
        <v>85.881686738412995</v>
      </c>
      <c r="CB208" s="583">
        <f t="shared" si="319"/>
        <v>-50</v>
      </c>
      <c r="CC208">
        <f t="shared" si="320"/>
        <v>-50</v>
      </c>
    </row>
    <row r="209" spans="5:83" x14ac:dyDescent="0.2">
      <c r="E209" s="178">
        <v>99</v>
      </c>
      <c r="F209" s="225">
        <f t="shared" si="339"/>
        <v>0.29699999999999999</v>
      </c>
      <c r="G209" s="225"/>
      <c r="H209" s="225">
        <f t="shared" si="329"/>
        <v>4.4550000000000001</v>
      </c>
      <c r="I209" s="561">
        <f t="shared" si="292"/>
        <v>7</v>
      </c>
      <c r="J209" s="456">
        <f t="shared" si="293"/>
        <v>8.8270422820281365</v>
      </c>
      <c r="K209" s="456">
        <f t="shared" si="294"/>
        <v>22.25</v>
      </c>
      <c r="L209" s="456"/>
      <c r="M209" s="225">
        <f t="shared" si="295"/>
        <v>0.6853932584269663</v>
      </c>
      <c r="N209" s="180">
        <f t="shared" si="330"/>
        <v>3.1305337078651685</v>
      </c>
      <c r="O209" s="180">
        <f t="shared" si="325"/>
        <v>2.5473815577623564</v>
      </c>
      <c r="P209" s="225">
        <f t="shared" si="331"/>
        <v>0.20870224719101124</v>
      </c>
      <c r="Q209" s="225">
        <f t="shared" si="298"/>
        <v>10.540517534899557</v>
      </c>
      <c r="R209" s="225"/>
      <c r="S209" s="180">
        <f t="shared" si="299"/>
        <v>8.5770422820281365</v>
      </c>
      <c r="T209" s="556">
        <f t="shared" si="332"/>
        <v>8.5770422820281365</v>
      </c>
      <c r="U209" s="225">
        <f t="shared" si="301"/>
        <v>1.45</v>
      </c>
      <c r="V209" s="225">
        <f t="shared" si="333"/>
        <v>8.2857142857142847</v>
      </c>
      <c r="W209" s="225">
        <f t="shared" si="303"/>
        <v>6.5707173645342145</v>
      </c>
      <c r="X209" s="205">
        <f t="shared" si="304"/>
        <v>336.55457230312544</v>
      </c>
      <c r="Y209" s="456">
        <f t="shared" si="271"/>
        <v>67.310914460625099</v>
      </c>
      <c r="AA209" s="225">
        <f t="shared" si="305"/>
        <v>0.28999999999999998</v>
      </c>
      <c r="AB209" s="181">
        <f t="shared" si="334"/>
        <v>1.3141434729068433</v>
      </c>
      <c r="AC209" s="181">
        <f t="shared" si="335"/>
        <v>6.4130744198020451E-2</v>
      </c>
      <c r="AD209" s="181"/>
      <c r="AE209" s="181">
        <f t="shared" si="308"/>
        <v>1.3141434729068433</v>
      </c>
      <c r="AF209" s="565">
        <f t="shared" si="336"/>
        <v>1558.6394517017575</v>
      </c>
      <c r="AG209" s="548">
        <f t="shared" si="310"/>
        <v>6.4130744198020437E-2</v>
      </c>
      <c r="AI209" s="181">
        <f t="shared" si="311"/>
        <v>0.61197940648852789</v>
      </c>
      <c r="AJ209" s="181">
        <f t="shared" si="337"/>
        <v>1.45</v>
      </c>
      <c r="AK209" s="181">
        <f t="shared" si="338"/>
        <v>2.0592592592592593</v>
      </c>
      <c r="AM209" s="565">
        <f t="shared" si="314"/>
        <v>297</v>
      </c>
      <c r="AN209" s="474">
        <f t="shared" si="315"/>
        <v>67.310914460625099</v>
      </c>
      <c r="AP209" t="str">
        <f t="shared" si="316"/>
        <v/>
      </c>
      <c r="AQ209" t="str">
        <f t="shared" si="317"/>
        <v/>
      </c>
      <c r="AS209" s="6">
        <f t="shared" si="326"/>
        <v>14.856431650248497</v>
      </c>
      <c r="AT209" s="6">
        <f t="shared" si="318"/>
        <v>8.2857142857142847</v>
      </c>
      <c r="AU209" s="6">
        <f t="shared" si="272"/>
        <v>6.5707173645342127</v>
      </c>
      <c r="AV209" s="6"/>
      <c r="AW209" s="181">
        <f t="shared" si="273"/>
        <v>0.5577190055308936</v>
      </c>
      <c r="AX209" s="181">
        <f t="shared" si="322"/>
        <v>2.8304239530692858</v>
      </c>
      <c r="AY209" s="181">
        <f t="shared" si="323"/>
        <v>0.32065372099010214</v>
      </c>
      <c r="AZ209" s="181">
        <f t="shared" si="327"/>
        <v>8.82704228202814</v>
      </c>
      <c r="BD209" s="181">
        <f t="shared" si="328"/>
        <v>0.62519442552662607</v>
      </c>
      <c r="BE209" s="181">
        <f t="shared" si="324"/>
        <v>0.55674524122237934</v>
      </c>
      <c r="BG209" s="548">
        <f t="shared" si="274"/>
        <v>0.13680382439834879</v>
      </c>
      <c r="BH209" s="548">
        <f t="shared" si="275"/>
        <v>2.1716183777859169E-2</v>
      </c>
      <c r="BI209" s="548">
        <f t="shared" si="276"/>
        <v>8.4138643075781371E-4</v>
      </c>
      <c r="BJ209" s="548">
        <f t="shared" si="277"/>
        <v>1.9160788014343847E-3</v>
      </c>
      <c r="BK209">
        <f t="shared" si="278"/>
        <v>2.0300000000000001E-3</v>
      </c>
      <c r="BL209" s="474">
        <f t="shared" si="279"/>
        <v>163.30747340840014</v>
      </c>
      <c r="BM209" s="548">
        <f t="shared" si="280"/>
        <v>0.10394999999999999</v>
      </c>
      <c r="BP209" s="474">
        <f t="shared" si="281"/>
        <v>103.94999999999999</v>
      </c>
      <c r="BQ209" s="548">
        <f t="shared" si="282"/>
        <v>0</v>
      </c>
      <c r="BR209" s="548">
        <f t="shared" si="283"/>
        <v>0</v>
      </c>
      <c r="BS209" s="548">
        <f t="shared" si="284"/>
        <v>4.7054778868844509E-3</v>
      </c>
      <c r="BT209" s="548">
        <f t="shared" si="285"/>
        <v>0.14859725753613751</v>
      </c>
      <c r="BU209" s="474">
        <f t="shared" si="286"/>
        <v>153.30273542302194</v>
      </c>
      <c r="BV209" s="181">
        <f t="shared" si="287"/>
        <v>0.42056020883142209</v>
      </c>
      <c r="BW209" s="6">
        <f t="shared" si="288"/>
        <v>2.5473815577623564</v>
      </c>
      <c r="BX209" s="181">
        <f t="shared" si="289"/>
        <v>0.85829903619905357</v>
      </c>
      <c r="BY209" s="6">
        <f t="shared" si="290"/>
        <v>85.829903619905352</v>
      </c>
      <c r="CB209" s="583">
        <f t="shared" si="319"/>
        <v>-50</v>
      </c>
      <c r="CC209">
        <f t="shared" si="320"/>
        <v>-50</v>
      </c>
    </row>
    <row r="210" spans="5:83" x14ac:dyDescent="0.2">
      <c r="E210" s="178">
        <v>100</v>
      </c>
      <c r="F210" s="225">
        <f t="shared" si="339"/>
        <v>0.3</v>
      </c>
      <c r="G210" s="225"/>
      <c r="H210" s="225">
        <f t="shared" si="329"/>
        <v>4.5</v>
      </c>
      <c r="I210" s="561">
        <f t="shared" si="292"/>
        <v>7</v>
      </c>
      <c r="J210" s="456">
        <f t="shared" si="293"/>
        <v>8.6766898190998791</v>
      </c>
      <c r="K210" s="456">
        <f t="shared" si="294"/>
        <v>22.25</v>
      </c>
      <c r="L210" s="456"/>
      <c r="M210" s="225">
        <f t="shared" si="295"/>
        <v>0.6853932584269663</v>
      </c>
      <c r="N210" s="180">
        <f t="shared" si="330"/>
        <v>3.1305337078651685</v>
      </c>
      <c r="O210" s="180">
        <f t="shared" si="325"/>
        <v>2.5280069457299637</v>
      </c>
      <c r="P210" s="225">
        <f t="shared" si="331"/>
        <v>0.20870224719101124</v>
      </c>
      <c r="Q210" s="225">
        <f t="shared" si="298"/>
        <v>10.435112359550562</v>
      </c>
      <c r="R210" s="225"/>
      <c r="S210" s="180">
        <f t="shared" si="299"/>
        <v>8.4266898190998791</v>
      </c>
      <c r="T210" s="556">
        <f t="shared" si="332"/>
        <v>8.4266898190998791</v>
      </c>
      <c r="U210" s="225">
        <f t="shared" si="301"/>
        <v>1.45</v>
      </c>
      <c r="V210" s="225">
        <f t="shared" si="333"/>
        <v>8.2857142857142847</v>
      </c>
      <c r="W210" s="225">
        <f t="shared" si="303"/>
        <v>6.6845768615959269</v>
      </c>
      <c r="X210" s="205">
        <f t="shared" si="304"/>
        <v>333.99484023384377</v>
      </c>
      <c r="Y210" s="456">
        <f t="shared" si="271"/>
        <v>66.798968046768749</v>
      </c>
      <c r="AA210" s="225">
        <f t="shared" si="305"/>
        <v>0.29000000000000004</v>
      </c>
      <c r="AB210" s="181">
        <f t="shared" si="334"/>
        <v>1.3369153723191856</v>
      </c>
      <c r="AC210" s="181">
        <f t="shared" si="335"/>
        <v>6.4745811246667839E-2</v>
      </c>
      <c r="AD210" s="181"/>
      <c r="AE210" s="181">
        <f t="shared" si="308"/>
        <v>1.3369153723191853</v>
      </c>
      <c r="AF210" s="565">
        <f t="shared" si="336"/>
        <v>1547.5665551307752</v>
      </c>
      <c r="AG210" s="548">
        <f t="shared" si="310"/>
        <v>6.4745811246667825E-2</v>
      </c>
      <c r="AI210" s="181">
        <f t="shared" si="311"/>
        <v>0.60980171785940429</v>
      </c>
      <c r="AJ210" s="181">
        <f t="shared" si="337"/>
        <v>1.45</v>
      </c>
      <c r="AK210" s="181">
        <f t="shared" si="338"/>
        <v>2.0592592592592593</v>
      </c>
      <c r="AM210" s="565">
        <f t="shared" si="314"/>
        <v>300</v>
      </c>
      <c r="AN210" s="474">
        <f t="shared" si="315"/>
        <v>66.798968046768749</v>
      </c>
      <c r="AP210" t="str">
        <f t="shared" si="316"/>
        <v/>
      </c>
      <c r="AQ210" t="str">
        <f t="shared" si="317"/>
        <v/>
      </c>
      <c r="AS210" s="6">
        <f t="shared" si="326"/>
        <v>14.970291147310213</v>
      </c>
      <c r="AT210" s="6">
        <f t="shared" si="318"/>
        <v>8.2857142857142847</v>
      </c>
      <c r="AU210" s="6">
        <f t="shared" si="272"/>
        <v>6.6845768615959287</v>
      </c>
      <c r="AV210" s="6"/>
      <c r="AW210" s="181">
        <f t="shared" si="273"/>
        <v>0.55347716381608381</v>
      </c>
      <c r="AX210" s="181">
        <f t="shared" si="322"/>
        <v>2.8088966063666261</v>
      </c>
      <c r="AY210" s="181">
        <f t="shared" si="323"/>
        <v>0.32372905623333925</v>
      </c>
      <c r="AZ210" s="181">
        <f t="shared" si="327"/>
        <v>8.6766898190998756</v>
      </c>
      <c r="BD210" s="181">
        <f t="shared" si="328"/>
        <v>0.6228123679256099</v>
      </c>
      <c r="BE210" s="181">
        <f t="shared" si="324"/>
        <v>0.55940869468772825</v>
      </c>
      <c r="BG210" s="548">
        <f t="shared" si="274"/>
        <v>0.13576333597438683</v>
      </c>
      <c r="BH210" s="548">
        <f t="shared" si="275"/>
        <v>2.1551017066088765E-2</v>
      </c>
      <c r="BI210" s="548">
        <f t="shared" si="276"/>
        <v>8.3498710058460925E-4</v>
      </c>
      <c r="BJ210" s="548">
        <f t="shared" si="277"/>
        <v>1.9015056868225734E-3</v>
      </c>
      <c r="BK210">
        <f t="shared" si="278"/>
        <v>2.0300000000000001E-3</v>
      </c>
      <c r="BL210" s="474">
        <f t="shared" si="279"/>
        <v>162.08084582788277</v>
      </c>
      <c r="BM210" s="548">
        <f t="shared" si="280"/>
        <v>0.105</v>
      </c>
      <c r="BP210" s="474">
        <f t="shared" si="281"/>
        <v>105</v>
      </c>
      <c r="BQ210" s="548">
        <f t="shared" si="282"/>
        <v>0</v>
      </c>
      <c r="BR210" s="548">
        <f t="shared" si="283"/>
        <v>0</v>
      </c>
      <c r="BS210" s="548">
        <f t="shared" si="284"/>
        <v>4.6165165103349429E-3</v>
      </c>
      <c r="BT210" s="548">
        <f t="shared" si="285"/>
        <v>0.1474670718342479</v>
      </c>
      <c r="BU210" s="474">
        <f t="shared" si="286"/>
        <v>152.08358834458286</v>
      </c>
      <c r="BV210" s="181">
        <f t="shared" si="287"/>
        <v>0.41916443417246563</v>
      </c>
      <c r="BW210" s="6">
        <f t="shared" si="288"/>
        <v>2.5280069457299637</v>
      </c>
      <c r="BX210" s="181">
        <f t="shared" si="289"/>
        <v>0.85777398727781384</v>
      </c>
      <c r="BY210" s="6">
        <f t="shared" si="290"/>
        <v>85.777398727781389</v>
      </c>
      <c r="CB210" s="583">
        <f t="shared" si="319"/>
        <v>-50</v>
      </c>
      <c r="CC210">
        <f t="shared" si="320"/>
        <v>-50</v>
      </c>
    </row>
    <row r="211" spans="5:83" x14ac:dyDescent="0.2">
      <c r="E211" s="178"/>
      <c r="F211" s="225"/>
      <c r="G211" s="225"/>
      <c r="H211" s="225"/>
      <c r="I211" s="561"/>
      <c r="J211" s="456"/>
      <c r="K211" s="456"/>
      <c r="L211" s="456"/>
      <c r="M211" s="225"/>
      <c r="N211" s="180"/>
      <c r="O211" s="180"/>
      <c r="P211" s="225"/>
      <c r="Q211" s="225"/>
      <c r="R211" s="225"/>
      <c r="S211" s="180"/>
      <c r="T211" s="180"/>
      <c r="U211" s="225"/>
      <c r="V211" s="225"/>
      <c r="W211" s="225"/>
      <c r="X211" s="205"/>
      <c r="Y211" s="456"/>
      <c r="AA211" s="225"/>
      <c r="AB211" s="181"/>
      <c r="AC211" s="181"/>
      <c r="AD211" s="181"/>
      <c r="AE211" s="181"/>
      <c r="AF211" s="565"/>
      <c r="AI211" s="181"/>
      <c r="AJ211" s="181"/>
      <c r="AK211" s="181"/>
      <c r="AM211" s="565"/>
      <c r="AN211" s="474"/>
      <c r="AS211" s="6"/>
      <c r="AT211" s="6"/>
      <c r="AU211" s="6"/>
      <c r="AV211" s="6"/>
      <c r="AW211" s="181"/>
      <c r="AX211" s="181"/>
      <c r="CB211" s="583"/>
      <c r="CD211" s="550">
        <f>MAX(CC110:CC210)</f>
        <v>2.7261272386632394</v>
      </c>
      <c r="CE211" s="78" t="s">
        <v>45</v>
      </c>
    </row>
    <row r="212" spans="5:83" x14ac:dyDescent="0.2">
      <c r="H212" s="225"/>
      <c r="I212" s="561"/>
      <c r="J212" s="456"/>
      <c r="K212" s="456"/>
      <c r="L212" s="456"/>
      <c r="M212" s="225"/>
      <c r="N212" s="552">
        <f>M210*I210*Isw_max*0.5*Efficiency</f>
        <v>3.1305337078651685</v>
      </c>
      <c r="O212" s="180"/>
      <c r="P212" s="225"/>
      <c r="Q212" s="225"/>
      <c r="R212" s="225"/>
      <c r="S212" s="180"/>
      <c r="T212" s="180"/>
      <c r="U212" s="225"/>
      <c r="V212" s="225"/>
      <c r="W212" s="225"/>
      <c r="X212" s="205"/>
      <c r="Y212" s="456"/>
      <c r="AA212" s="225"/>
      <c r="AB212" s="181"/>
      <c r="AC212" s="181"/>
      <c r="AD212" s="181"/>
      <c r="AE212" s="181"/>
      <c r="AF212" s="565"/>
      <c r="AI212" s="181"/>
      <c r="AJ212" s="181"/>
      <c r="AK212" s="181"/>
      <c r="AM212" s="565"/>
      <c r="AN212" s="474"/>
      <c r="AS212" s="6"/>
      <c r="AT212" s="6"/>
      <c r="AU212" s="6"/>
      <c r="AV212" s="6"/>
      <c r="AW212" s="181"/>
      <c r="AX212" s="181"/>
      <c r="CB212" s="583"/>
    </row>
    <row r="213" spans="5:83" x14ac:dyDescent="0.2">
      <c r="H213" s="225"/>
      <c r="I213" s="561"/>
      <c r="J213" s="456"/>
      <c r="K213" s="456"/>
      <c r="L213" s="456"/>
      <c r="M213" s="225"/>
      <c r="N213" s="180"/>
      <c r="O213" s="180"/>
      <c r="P213" s="225"/>
      <c r="Q213" s="225"/>
      <c r="R213" s="225"/>
      <c r="S213" s="180"/>
      <c r="T213" s="180"/>
      <c r="U213" s="225"/>
      <c r="V213" s="225"/>
      <c r="W213" s="225"/>
      <c r="X213" s="205"/>
      <c r="Y213" s="456"/>
      <c r="AA213" s="225"/>
      <c r="AB213" s="181"/>
      <c r="AC213" s="181"/>
      <c r="AD213" s="181"/>
      <c r="AE213" s="181"/>
      <c r="AF213" s="565"/>
      <c r="AI213" s="181"/>
      <c r="AJ213" s="181"/>
      <c r="AK213" s="181"/>
      <c r="AM213" s="565"/>
      <c r="AN213" s="474"/>
      <c r="AS213" s="6"/>
      <c r="AT213" s="6"/>
      <c r="AU213" s="6"/>
      <c r="AV213" s="6"/>
      <c r="AW213" s="181"/>
      <c r="AX213" s="181"/>
      <c r="CB213" s="583"/>
    </row>
    <row r="214" spans="5:83" x14ac:dyDescent="0.2">
      <c r="E214" s="458" t="s">
        <v>448</v>
      </c>
      <c r="H214" s="225"/>
      <c r="I214" s="561"/>
      <c r="J214" s="456"/>
      <c r="K214" s="456"/>
      <c r="L214" s="456"/>
      <c r="M214" s="225"/>
      <c r="N214" s="180"/>
      <c r="O214" s="180"/>
      <c r="P214" s="225"/>
      <c r="Q214" s="225"/>
      <c r="R214" s="225"/>
      <c r="S214" s="180"/>
      <c r="T214" s="180"/>
      <c r="U214" s="225"/>
      <c r="V214" s="225"/>
      <c r="W214" s="225"/>
      <c r="X214" s="205"/>
      <c r="Y214" s="456"/>
      <c r="AA214" s="225"/>
      <c r="AB214" s="181"/>
      <c r="AC214" s="181"/>
      <c r="AD214" s="181"/>
      <c r="AE214" s="181"/>
      <c r="AF214" s="565"/>
      <c r="AI214" s="181"/>
      <c r="AJ214" s="181"/>
      <c r="AK214" s="181"/>
      <c r="AM214" s="565"/>
      <c r="AN214" s="474"/>
      <c r="AS214" s="6"/>
      <c r="AT214" s="6"/>
      <c r="AU214" s="6"/>
      <c r="AV214" s="6"/>
      <c r="AW214" s="181"/>
      <c r="AX214" s="181"/>
      <c r="CB214" s="583"/>
    </row>
    <row r="215" spans="5:83" ht="45" customHeight="1" thickBot="1" x14ac:dyDescent="0.25">
      <c r="E215" s="249" t="s">
        <v>25</v>
      </c>
      <c r="F215" s="457" t="s">
        <v>195</v>
      </c>
      <c r="G215" s="268"/>
      <c r="H215" s="547" t="s">
        <v>224</v>
      </c>
      <c r="I215" s="250" t="s">
        <v>425</v>
      </c>
      <c r="J215" s="251" t="s">
        <v>431</v>
      </c>
      <c r="K215" s="547" t="s">
        <v>426</v>
      </c>
      <c r="L215" s="547"/>
      <c r="M215" s="252" t="s">
        <v>48</v>
      </c>
      <c r="N215" s="547" t="s">
        <v>415</v>
      </c>
      <c r="O215" s="180"/>
      <c r="P215" s="547" t="s">
        <v>416</v>
      </c>
      <c r="Q215" s="547" t="s">
        <v>446</v>
      </c>
      <c r="R215" s="547"/>
      <c r="S215" s="180"/>
      <c r="T215" s="180"/>
      <c r="U215" s="547" t="s">
        <v>427</v>
      </c>
      <c r="V215" s="547" t="s">
        <v>479</v>
      </c>
      <c r="W215" s="547" t="s">
        <v>478</v>
      </c>
      <c r="X215" s="567" t="s">
        <v>433</v>
      </c>
      <c r="Y215" s="562" t="s">
        <v>438</v>
      </c>
      <c r="AA215" s="253" t="s">
        <v>430</v>
      </c>
      <c r="AB215" s="253" t="s">
        <v>477</v>
      </c>
      <c r="AC215" s="253" t="s">
        <v>436</v>
      </c>
      <c r="AD215" s="564"/>
      <c r="AE215" s="253" t="s">
        <v>476</v>
      </c>
      <c r="AF215" s="253" t="s">
        <v>439</v>
      </c>
      <c r="AG215" s="253" t="s">
        <v>440</v>
      </c>
      <c r="AH215" s="564"/>
      <c r="AI215" s="253" t="s">
        <v>442</v>
      </c>
      <c r="AJ215" s="568" t="s">
        <v>443</v>
      </c>
      <c r="AK215" s="568" t="s">
        <v>444</v>
      </c>
      <c r="AM215" s="563" t="s">
        <v>276</v>
      </c>
      <c r="AN215" s="563" t="s">
        <v>445</v>
      </c>
      <c r="AP215" s="253" t="s">
        <v>276</v>
      </c>
      <c r="AQ215" s="253" t="s">
        <v>445</v>
      </c>
      <c r="AR215" s="569"/>
      <c r="AS215" s="253" t="s">
        <v>480</v>
      </c>
      <c r="AT215" s="6"/>
      <c r="AU215" s="6"/>
      <c r="AV215" s="6"/>
      <c r="AW215" s="181"/>
      <c r="AX215" s="181"/>
      <c r="AY215" s="564"/>
      <c r="AZ215" s="564"/>
      <c r="BA215" s="253" t="s">
        <v>495</v>
      </c>
      <c r="BB215" s="253" t="s">
        <v>496</v>
      </c>
      <c r="BC215" s="564"/>
      <c r="BD215" s="578" t="s">
        <v>469</v>
      </c>
      <c r="BE215" s="253" t="s">
        <v>470</v>
      </c>
      <c r="BF215" s="564"/>
      <c r="BG215" s="578" t="s">
        <v>487</v>
      </c>
      <c r="BH215" s="253" t="s">
        <v>488</v>
      </c>
      <c r="BI215" s="253" t="s">
        <v>486</v>
      </c>
      <c r="BJ215" s="253" t="s">
        <v>482</v>
      </c>
      <c r="BK215" s="253" t="s">
        <v>491</v>
      </c>
      <c r="BL215" s="253" t="s">
        <v>506</v>
      </c>
      <c r="BM215" s="578" t="s">
        <v>489</v>
      </c>
      <c r="BN215" s="253" t="s">
        <v>490</v>
      </c>
      <c r="BO215" s="253" t="s">
        <v>498</v>
      </c>
      <c r="BP215" s="253" t="s">
        <v>502</v>
      </c>
      <c r="BQ215" s="578" t="s">
        <v>471</v>
      </c>
      <c r="BR215" s="253" t="s">
        <v>472</v>
      </c>
      <c r="BS215" s="253" t="s">
        <v>481</v>
      </c>
      <c r="BT215" s="253" t="s">
        <v>499</v>
      </c>
      <c r="BU215" s="253" t="s">
        <v>501</v>
      </c>
      <c r="BV215" s="578" t="s">
        <v>497</v>
      </c>
      <c r="BW215" s="253" t="s">
        <v>224</v>
      </c>
      <c r="BX215" s="253" t="s">
        <v>47</v>
      </c>
      <c r="BY215" s="253" t="s">
        <v>500</v>
      </c>
      <c r="BZ215" s="253"/>
      <c r="CB215" s="583"/>
    </row>
    <row r="216" spans="5:83" x14ac:dyDescent="0.2">
      <c r="E216" s="178">
        <v>0.1</v>
      </c>
      <c r="F216" s="225">
        <v>1.0000000000000001E-9</v>
      </c>
      <c r="G216" s="225"/>
      <c r="H216" s="225">
        <f t="shared" ref="H216:H247" si="340">F216*Vout</f>
        <v>1.5000000000000002E-8</v>
      </c>
      <c r="I216" s="561">
        <f t="shared" ref="I216:I247" si="341">VIN_max</f>
        <v>24</v>
      </c>
      <c r="J216" s="456">
        <f t="shared" ref="J216:J247" si="342">(T216+Vfwd1)*Nps</f>
        <v>15.25</v>
      </c>
      <c r="K216" s="456">
        <f t="shared" ref="K216:K247" si="343">(Vout+Vfwd1)*Nps+I216</f>
        <v>39.25</v>
      </c>
      <c r="L216" s="456"/>
      <c r="M216" s="225">
        <f t="shared" ref="M216:M247" si="344">(Vout+Vfwd1)*Nps/((Vout+Vfwd1)*Nps+I216)</f>
        <v>0.38853503184713378</v>
      </c>
      <c r="N216" s="180">
        <f t="shared" ref="N216:N247" si="345">M216*I216*Isw_max*0.5*Efficiency</f>
        <v>6.0844585987261137</v>
      </c>
      <c r="O216" s="180">
        <f t="shared" si="325"/>
        <v>1.5000000000000002E-8</v>
      </c>
      <c r="P216" s="225">
        <f t="shared" ref="P216:P247" si="346">N216/Vout</f>
        <v>0.40563057324840757</v>
      </c>
      <c r="Q216" s="225">
        <f t="shared" ref="Q216:Q247" si="347">MIN(Vout,N216/F216)</f>
        <v>15</v>
      </c>
      <c r="R216" s="225"/>
      <c r="S216" s="180">
        <f t="shared" ref="S216:S247" si="348">(SQRT(Isw_max^2*Nps^2*I216^2+4*Isw_max*F216/Efficiency*(Nps^2*Vfwd1*I216-Nps*I216^2)+4*(F216/Efficiency)^2*Nps^2*Vfwd1^2+8*(F216/Efficiency)^2*Nps*Vfwd1*I216+4*(F216/Efficiency)^2*I216^2)-2*F216/Efficiency*I216-2*F216/Efficiency*Nps*Vfwd1+Isw_max*Nps*I216)/(4*F216/Efficiency*Nps)</f>
        <v>15659999976</v>
      </c>
      <c r="T216" s="180">
        <f t="shared" ref="T216:T247" si="349">MIN(Vout, S216)</f>
        <v>15</v>
      </c>
      <c r="U216" s="225">
        <f t="shared" ref="U216:U247" si="350">MIN(2*Vout*F216/(Efficiency*I216*M216), Isw_max)</f>
        <v>3.5746812386156649E-9</v>
      </c>
      <c r="V216" s="225">
        <f t="shared" ref="V216:V247" si="351">L*U216/I216*1000000</f>
        <v>5.9578020643594419E-9</v>
      </c>
      <c r="W216" s="225">
        <f t="shared" ref="W216:W247" si="352">L*U216/J216*1000000</f>
        <v>9.376213084893547E-9</v>
      </c>
      <c r="X216" s="205">
        <f t="shared" ref="X216:X247" si="353">IF(1/((350000*L)*(1/I216+1/J216))&gt;Isw_min, 350, 0.001/((Isw_min*L)*(1/I216+1/J216)))</f>
        <v>350</v>
      </c>
      <c r="Y216" s="456">
        <f t="shared" ref="Y216:Y275" si="354">MIN(1/(V216+W216)*1000, 350)</f>
        <v>350</v>
      </c>
      <c r="AA216" s="225">
        <f t="shared" ref="AA216:AA247" si="355">1/((X216*1000*L)*(1/I216+1/J216))</f>
        <v>0.66606005459508633</v>
      </c>
      <c r="AB216" s="181">
        <f t="shared" ref="AB216:AB247" si="356">L*AA216/J216*1000000</f>
        <v>1.7470427661510461</v>
      </c>
      <c r="AC216" s="181">
        <f t="shared" ref="AC216:AC247" si="357">0.5*AB216*AA216*Nps*X216/1000</f>
        <v>0.20363619503544039</v>
      </c>
      <c r="AD216" s="181"/>
      <c r="AE216" s="181">
        <f t="shared" ref="AE216:AE247" si="358">L*Isw_min/J216*1000000</f>
        <v>0.76065573770491812</v>
      </c>
      <c r="AF216" s="565">
        <f t="shared" ref="AF216:AF247" si="359">MAX(10000,F216/(0.5*AE216/1000000*Isw_min*Nps))/1000</f>
        <v>10</v>
      </c>
      <c r="AG216" s="548">
        <f t="shared" ref="AG216:AG247" si="360">0.5*AE216/1000000*Isw_min*Nps*X216*1000</f>
        <v>3.8603278688524589E-2</v>
      </c>
      <c r="AI216" s="181">
        <f t="shared" ref="AI216:AI247" si="361">SQRT(F216/(0.5*L/J216*Fsw_DCM*Nps))</f>
        <v>4.6675169293441546E-5</v>
      </c>
      <c r="AJ216" s="181">
        <f t="shared" ref="AJ216:AJ247" si="362">MAX(IF(F216&gt;AC216,U216,AI216),Isw_min)</f>
        <v>0.28999999999999998</v>
      </c>
      <c r="AK216" s="181">
        <f t="shared" ref="AK216:AK247" si="363">IF(F216&gt;AG216, (AJ216-Isw_min)/1.08*0.8+1.2, AF216*0.2/350+1)</f>
        <v>1.0057142857142858</v>
      </c>
      <c r="AM216" s="565">
        <f t="shared" ref="AM216:AM247" si="364">F216*1000</f>
        <v>1.0000000000000002E-6</v>
      </c>
      <c r="AN216" s="474">
        <f t="shared" ref="AN216:AN247" si="365">IF(F216&gt;AG216, Y216, AF216)</f>
        <v>10</v>
      </c>
      <c r="AP216">
        <f t="shared" ref="AP216:AP247" si="366">IF(H216&gt;N216, "",AM216)</f>
        <v>1.0000000000000002E-6</v>
      </c>
      <c r="AQ216">
        <f t="shared" ref="AQ216:AQ247" si="367">IF(H216&gt;N216, "",AN216)</f>
        <v>10</v>
      </c>
      <c r="AS216" s="6">
        <f t="shared" si="326"/>
        <v>100</v>
      </c>
      <c r="AT216" s="6">
        <f t="shared" ref="AT216:AT247" si="368">L*AJ216/I216*1000000</f>
        <v>0.48333333333333339</v>
      </c>
      <c r="AU216" s="6">
        <f t="shared" si="272"/>
        <v>99.516666666666666</v>
      </c>
      <c r="AV216" s="6"/>
      <c r="AW216" s="181">
        <f t="shared" si="273"/>
        <v>4.8333333333333336E-3</v>
      </c>
      <c r="AX216" s="181"/>
      <c r="CB216" s="583">
        <f t="shared" ref="CB216:CB247" si="369">IF(ABS(F216-Ioutmax_Vinmax)&lt;Iout/200, AN216, -50)</f>
        <v>-50</v>
      </c>
      <c r="CC216">
        <f t="shared" ref="CC216:CC247" si="370">IF(ABS(F216-Ioutmax_Vinmin)&lt;Iout/200, N216*BX216, -50)</f>
        <v>-50</v>
      </c>
    </row>
    <row r="217" spans="5:83" x14ac:dyDescent="0.2">
      <c r="E217" s="178">
        <v>1</v>
      </c>
      <c r="F217" s="225">
        <f t="shared" ref="F217:F248" si="371">IF(PLOT_TYPE=1, E217/100*Iout_max, min_I*EXP(N217*rr/100))</f>
        <v>3.0000000000000001E-3</v>
      </c>
      <c r="G217" s="225"/>
      <c r="H217" s="225">
        <f t="shared" si="340"/>
        <v>4.4999999999999998E-2</v>
      </c>
      <c r="I217" s="561">
        <f t="shared" si="341"/>
        <v>24</v>
      </c>
      <c r="J217" s="456">
        <f t="shared" si="342"/>
        <v>15.25</v>
      </c>
      <c r="K217" s="456">
        <f t="shared" si="343"/>
        <v>39.25</v>
      </c>
      <c r="L217" s="456"/>
      <c r="M217" s="225">
        <f t="shared" si="344"/>
        <v>0.38853503184713378</v>
      </c>
      <c r="N217" s="180">
        <f t="shared" si="345"/>
        <v>6.0844585987261137</v>
      </c>
      <c r="O217" s="180">
        <f t="shared" si="325"/>
        <v>4.4999999999999998E-2</v>
      </c>
      <c r="P217" s="225">
        <f t="shared" si="346"/>
        <v>0.40563057324840757</v>
      </c>
      <c r="Q217" s="225">
        <f t="shared" si="347"/>
        <v>15</v>
      </c>
      <c r="R217" s="225"/>
      <c r="S217" s="180">
        <f t="shared" si="348"/>
        <v>5196.0011546786</v>
      </c>
      <c r="T217" s="180">
        <f t="shared" si="349"/>
        <v>15</v>
      </c>
      <c r="U217" s="225">
        <f t="shared" si="350"/>
        <v>1.0724043715846994E-2</v>
      </c>
      <c r="V217" s="225">
        <f t="shared" si="351"/>
        <v>1.7873406193078326E-2</v>
      </c>
      <c r="W217" s="225">
        <f t="shared" si="352"/>
        <v>2.8128639254680642E-2</v>
      </c>
      <c r="X217" s="205">
        <f t="shared" si="353"/>
        <v>350</v>
      </c>
      <c r="Y217" s="456">
        <f t="shared" si="354"/>
        <v>350</v>
      </c>
      <c r="AA217" s="225">
        <f t="shared" si="355"/>
        <v>0.66606005459508633</v>
      </c>
      <c r="AB217" s="181">
        <f t="shared" si="356"/>
        <v>1.7470427661510461</v>
      </c>
      <c r="AC217" s="181">
        <f t="shared" si="357"/>
        <v>0.20363619503544039</v>
      </c>
      <c r="AD217" s="181"/>
      <c r="AE217" s="181">
        <f t="shared" si="358"/>
        <v>0.76065573770491812</v>
      </c>
      <c r="AF217" s="565">
        <f t="shared" si="359"/>
        <v>27.199762187871581</v>
      </c>
      <c r="AG217" s="548">
        <f t="shared" si="360"/>
        <v>3.8603278688524589E-2</v>
      </c>
      <c r="AI217" s="181">
        <f t="shared" si="361"/>
        <v>8.0843764668119489E-2</v>
      </c>
      <c r="AJ217" s="181">
        <f t="shared" si="362"/>
        <v>0.28999999999999998</v>
      </c>
      <c r="AK217" s="181">
        <f t="shared" si="363"/>
        <v>1.0155427212502124</v>
      </c>
      <c r="AM217" s="565">
        <f t="shared" si="364"/>
        <v>3</v>
      </c>
      <c r="AN217" s="474">
        <f t="shared" si="365"/>
        <v>27.199762187871581</v>
      </c>
      <c r="AP217">
        <f t="shared" si="366"/>
        <v>3</v>
      </c>
      <c r="AQ217">
        <f t="shared" si="367"/>
        <v>27.199762187871581</v>
      </c>
      <c r="AS217" s="6">
        <f t="shared" si="326"/>
        <v>36.765027322404372</v>
      </c>
      <c r="AT217" s="6">
        <f t="shared" si="368"/>
        <v>0.48333333333333339</v>
      </c>
      <c r="AU217" s="6">
        <f t="shared" si="272"/>
        <v>36.281693989071037</v>
      </c>
      <c r="AV217" s="6"/>
      <c r="AW217" s="181">
        <f t="shared" si="273"/>
        <v>1.3146551724137933E-2</v>
      </c>
      <c r="AX217" s="181"/>
      <c r="CB217" s="583">
        <f t="shared" si="369"/>
        <v>-50</v>
      </c>
      <c r="CC217">
        <f t="shared" si="370"/>
        <v>-50</v>
      </c>
    </row>
    <row r="218" spans="5:83" x14ac:dyDescent="0.2">
      <c r="E218" s="178">
        <v>2</v>
      </c>
      <c r="F218" s="225">
        <f t="shared" si="371"/>
        <v>6.0000000000000001E-3</v>
      </c>
      <c r="G218" s="225"/>
      <c r="H218" s="225">
        <f t="shared" si="340"/>
        <v>0.09</v>
      </c>
      <c r="I218" s="561">
        <f t="shared" si="341"/>
        <v>24</v>
      </c>
      <c r="J218" s="456">
        <f t="shared" si="342"/>
        <v>15.25</v>
      </c>
      <c r="K218" s="456">
        <f t="shared" si="343"/>
        <v>39.25</v>
      </c>
      <c r="L218" s="456"/>
      <c r="M218" s="225">
        <f t="shared" si="344"/>
        <v>0.38853503184713378</v>
      </c>
      <c r="N218" s="180">
        <f t="shared" si="345"/>
        <v>6.0844585987261137</v>
      </c>
      <c r="O218" s="180">
        <f t="shared" si="325"/>
        <v>0.09</v>
      </c>
      <c r="P218" s="225">
        <f t="shared" si="346"/>
        <v>0.40563057324840757</v>
      </c>
      <c r="Q218" s="225">
        <f t="shared" si="347"/>
        <v>15</v>
      </c>
      <c r="R218" s="225"/>
      <c r="S218" s="180">
        <f t="shared" si="348"/>
        <v>2586.0023199592529</v>
      </c>
      <c r="T218" s="180">
        <f t="shared" si="349"/>
        <v>15</v>
      </c>
      <c r="U218" s="225">
        <f t="shared" si="350"/>
        <v>2.1448087431693987E-2</v>
      </c>
      <c r="V218" s="225">
        <f t="shared" si="351"/>
        <v>3.5746812386156651E-2</v>
      </c>
      <c r="W218" s="225">
        <f t="shared" si="352"/>
        <v>5.6257278509361283E-2</v>
      </c>
      <c r="X218" s="205">
        <f t="shared" si="353"/>
        <v>350</v>
      </c>
      <c r="Y218" s="456">
        <f t="shared" si="354"/>
        <v>350</v>
      </c>
      <c r="AA218" s="225">
        <f t="shared" si="355"/>
        <v>0.66606005459508633</v>
      </c>
      <c r="AB218" s="181">
        <f t="shared" si="356"/>
        <v>1.7470427661510461</v>
      </c>
      <c r="AC218" s="181">
        <f t="shared" si="357"/>
        <v>0.20363619503544039</v>
      </c>
      <c r="AD218" s="181"/>
      <c r="AE218" s="181">
        <f t="shared" si="358"/>
        <v>0.76065573770491812</v>
      </c>
      <c r="AF218" s="565">
        <f t="shared" si="359"/>
        <v>54.399524375743162</v>
      </c>
      <c r="AG218" s="548">
        <f t="shared" si="360"/>
        <v>3.8603278688524589E-2</v>
      </c>
      <c r="AI218" s="181">
        <f t="shared" si="361"/>
        <v>0.11433034842695342</v>
      </c>
      <c r="AJ218" s="181">
        <f t="shared" si="362"/>
        <v>0.28999999999999998</v>
      </c>
      <c r="AK218" s="181">
        <f t="shared" si="363"/>
        <v>1.0310854425004248</v>
      </c>
      <c r="AM218" s="565">
        <f t="shared" si="364"/>
        <v>6</v>
      </c>
      <c r="AN218" s="474">
        <f t="shared" si="365"/>
        <v>54.399524375743162</v>
      </c>
      <c r="AP218">
        <f t="shared" si="366"/>
        <v>6</v>
      </c>
      <c r="AQ218">
        <f t="shared" si="367"/>
        <v>54.399524375743162</v>
      </c>
      <c r="AS218" s="6">
        <f t="shared" si="326"/>
        <v>18.382513661202186</v>
      </c>
      <c r="AT218" s="6">
        <f t="shared" si="368"/>
        <v>0.48333333333333339</v>
      </c>
      <c r="AU218" s="6">
        <f t="shared" si="272"/>
        <v>17.899180327868851</v>
      </c>
      <c r="AV218" s="6"/>
      <c r="AW218" s="181">
        <f t="shared" si="273"/>
        <v>2.6293103448275866E-2</v>
      </c>
      <c r="AX218" s="181"/>
      <c r="CB218" s="583">
        <f t="shared" si="369"/>
        <v>-50</v>
      </c>
      <c r="CC218">
        <f t="shared" si="370"/>
        <v>-50</v>
      </c>
    </row>
    <row r="219" spans="5:83" x14ac:dyDescent="0.2">
      <c r="E219" s="178">
        <v>3</v>
      </c>
      <c r="F219" s="225">
        <f t="shared" si="371"/>
        <v>8.9999999999999993E-3</v>
      </c>
      <c r="G219" s="225"/>
      <c r="H219" s="225">
        <f t="shared" si="340"/>
        <v>0.13499999999999998</v>
      </c>
      <c r="I219" s="561">
        <f t="shared" si="341"/>
        <v>24</v>
      </c>
      <c r="J219" s="456">
        <f t="shared" si="342"/>
        <v>15.25</v>
      </c>
      <c r="K219" s="456">
        <f t="shared" si="343"/>
        <v>39.25</v>
      </c>
      <c r="L219" s="456"/>
      <c r="M219" s="225">
        <f t="shared" si="344"/>
        <v>0.38853503184713378</v>
      </c>
      <c r="N219" s="180">
        <f t="shared" si="345"/>
        <v>6.0844585987261137</v>
      </c>
      <c r="O219" s="180">
        <f t="shared" si="325"/>
        <v>0.13499999999999998</v>
      </c>
      <c r="P219" s="225">
        <f t="shared" si="346"/>
        <v>0.40563057324840757</v>
      </c>
      <c r="Q219" s="225">
        <f t="shared" si="347"/>
        <v>15</v>
      </c>
      <c r="R219" s="225"/>
      <c r="S219" s="180">
        <f t="shared" si="348"/>
        <v>1716.0034959870525</v>
      </c>
      <c r="T219" s="180">
        <f t="shared" si="349"/>
        <v>15</v>
      </c>
      <c r="U219" s="225">
        <f t="shared" si="350"/>
        <v>3.2172131147540979E-2</v>
      </c>
      <c r="V219" s="225">
        <f t="shared" si="351"/>
        <v>5.3620218579234977E-2</v>
      </c>
      <c r="W219" s="225">
        <f t="shared" si="352"/>
        <v>8.4385917764041918E-2</v>
      </c>
      <c r="X219" s="205">
        <f t="shared" si="353"/>
        <v>350</v>
      </c>
      <c r="Y219" s="456">
        <f t="shared" si="354"/>
        <v>350</v>
      </c>
      <c r="AA219" s="225">
        <f t="shared" si="355"/>
        <v>0.66606005459508633</v>
      </c>
      <c r="AB219" s="181">
        <f t="shared" si="356"/>
        <v>1.7470427661510461</v>
      </c>
      <c r="AC219" s="181">
        <f t="shared" si="357"/>
        <v>0.20363619503544039</v>
      </c>
      <c r="AD219" s="181"/>
      <c r="AE219" s="181">
        <f t="shared" si="358"/>
        <v>0.76065573770491812</v>
      </c>
      <c r="AF219" s="565">
        <f t="shared" si="359"/>
        <v>81.599286563614726</v>
      </c>
      <c r="AG219" s="548">
        <f t="shared" si="360"/>
        <v>3.8603278688524589E-2</v>
      </c>
      <c r="AI219" s="181">
        <f t="shared" si="361"/>
        <v>0.14002550788032464</v>
      </c>
      <c r="AJ219" s="181">
        <f t="shared" si="362"/>
        <v>0.28999999999999998</v>
      </c>
      <c r="AK219" s="181">
        <f t="shared" si="363"/>
        <v>1.0466281637506369</v>
      </c>
      <c r="AM219" s="565">
        <f t="shared" si="364"/>
        <v>9</v>
      </c>
      <c r="AN219" s="474">
        <f t="shared" si="365"/>
        <v>81.599286563614726</v>
      </c>
      <c r="AP219">
        <f t="shared" si="366"/>
        <v>9</v>
      </c>
      <c r="AQ219">
        <f t="shared" si="367"/>
        <v>81.599286563614726</v>
      </c>
      <c r="AS219" s="6">
        <f t="shared" si="326"/>
        <v>12.255009107468128</v>
      </c>
      <c r="AT219" s="6">
        <f t="shared" si="368"/>
        <v>0.48333333333333339</v>
      </c>
      <c r="AU219" s="6">
        <f t="shared" si="272"/>
        <v>11.771675774134795</v>
      </c>
      <c r="AV219" s="6"/>
      <c r="AW219" s="181">
        <f t="shared" si="273"/>
        <v>3.9439655172413782E-2</v>
      </c>
      <c r="AX219" s="181"/>
      <c r="CB219" s="583">
        <f t="shared" si="369"/>
        <v>-50</v>
      </c>
      <c r="CC219">
        <f t="shared" si="370"/>
        <v>-50</v>
      </c>
    </row>
    <row r="220" spans="5:83" x14ac:dyDescent="0.2">
      <c r="E220" s="178">
        <v>4</v>
      </c>
      <c r="F220" s="225">
        <f t="shared" si="371"/>
        <v>1.2E-2</v>
      </c>
      <c r="G220" s="225"/>
      <c r="H220" s="225">
        <f t="shared" si="340"/>
        <v>0.18</v>
      </c>
      <c r="I220" s="561">
        <f t="shared" si="341"/>
        <v>24</v>
      </c>
      <c r="J220" s="456">
        <f t="shared" si="342"/>
        <v>15.25</v>
      </c>
      <c r="K220" s="456">
        <f t="shared" si="343"/>
        <v>39.25</v>
      </c>
      <c r="L220" s="456"/>
      <c r="M220" s="225">
        <f t="shared" si="344"/>
        <v>0.38853503184713378</v>
      </c>
      <c r="N220" s="180">
        <f t="shared" si="345"/>
        <v>6.0844585987261137</v>
      </c>
      <c r="O220" s="180">
        <f t="shared" si="325"/>
        <v>0.18</v>
      </c>
      <c r="P220" s="225">
        <f t="shared" si="346"/>
        <v>0.40563057324840757</v>
      </c>
      <c r="Q220" s="225">
        <f t="shared" si="347"/>
        <v>15</v>
      </c>
      <c r="R220" s="225"/>
      <c r="S220" s="180">
        <f t="shared" si="348"/>
        <v>1281.0046829097132</v>
      </c>
      <c r="T220" s="180">
        <f t="shared" si="349"/>
        <v>15</v>
      </c>
      <c r="U220" s="225">
        <f t="shared" si="350"/>
        <v>4.2896174863387974E-2</v>
      </c>
      <c r="V220" s="225">
        <f t="shared" si="351"/>
        <v>7.1493624772313302E-2</v>
      </c>
      <c r="W220" s="225">
        <f t="shared" si="352"/>
        <v>0.11251455701872257</v>
      </c>
      <c r="X220" s="205">
        <f t="shared" si="353"/>
        <v>350</v>
      </c>
      <c r="Y220" s="456">
        <f t="shared" si="354"/>
        <v>350</v>
      </c>
      <c r="AA220" s="225">
        <f t="shared" si="355"/>
        <v>0.66606005459508633</v>
      </c>
      <c r="AB220" s="181">
        <f t="shared" si="356"/>
        <v>1.7470427661510461</v>
      </c>
      <c r="AC220" s="181">
        <f t="shared" si="357"/>
        <v>0.20363619503544039</v>
      </c>
      <c r="AD220" s="181"/>
      <c r="AE220" s="181">
        <f t="shared" si="358"/>
        <v>0.76065573770491812</v>
      </c>
      <c r="AF220" s="565">
        <f t="shared" si="359"/>
        <v>108.79904875148632</v>
      </c>
      <c r="AG220" s="548">
        <f t="shared" si="360"/>
        <v>3.8603278688524589E-2</v>
      </c>
      <c r="AI220" s="181">
        <f t="shared" si="361"/>
        <v>0.16168752933623898</v>
      </c>
      <c r="AJ220" s="181">
        <f t="shared" si="362"/>
        <v>0.28999999999999998</v>
      </c>
      <c r="AK220" s="181">
        <f t="shared" si="363"/>
        <v>1.0621708850008493</v>
      </c>
      <c r="AM220" s="565">
        <f t="shared" si="364"/>
        <v>12</v>
      </c>
      <c r="AN220" s="474">
        <f t="shared" si="365"/>
        <v>108.79904875148632</v>
      </c>
      <c r="AP220">
        <f t="shared" si="366"/>
        <v>12</v>
      </c>
      <c r="AQ220">
        <f t="shared" si="367"/>
        <v>108.79904875148632</v>
      </c>
      <c r="AS220" s="6">
        <f t="shared" si="326"/>
        <v>9.1912568306010929</v>
      </c>
      <c r="AT220" s="6">
        <f t="shared" si="368"/>
        <v>0.48333333333333339</v>
      </c>
      <c r="AU220" s="6">
        <f t="shared" si="272"/>
        <v>8.7079234972677604</v>
      </c>
      <c r="AV220" s="6"/>
      <c r="AW220" s="181">
        <f t="shared" si="273"/>
        <v>5.2586206896551732E-2</v>
      </c>
      <c r="AX220" s="181"/>
      <c r="CB220" s="583">
        <f t="shared" si="369"/>
        <v>-50</v>
      </c>
      <c r="CC220">
        <f t="shared" si="370"/>
        <v>-50</v>
      </c>
    </row>
    <row r="221" spans="5:83" x14ac:dyDescent="0.2">
      <c r="E221" s="178">
        <v>5</v>
      </c>
      <c r="F221" s="225">
        <f t="shared" si="371"/>
        <v>1.4999999999999999E-2</v>
      </c>
      <c r="G221" s="225"/>
      <c r="H221" s="225">
        <f t="shared" si="340"/>
        <v>0.22499999999999998</v>
      </c>
      <c r="I221" s="561">
        <f t="shared" si="341"/>
        <v>24</v>
      </c>
      <c r="J221" s="456">
        <f t="shared" si="342"/>
        <v>15.25</v>
      </c>
      <c r="K221" s="456">
        <f t="shared" si="343"/>
        <v>39.25</v>
      </c>
      <c r="L221" s="456"/>
      <c r="M221" s="225">
        <f t="shared" si="344"/>
        <v>0.38853503184713378</v>
      </c>
      <c r="N221" s="180">
        <f t="shared" si="345"/>
        <v>6.0844585987261137</v>
      </c>
      <c r="O221" s="180">
        <f t="shared" si="325"/>
        <v>0.22499999999999998</v>
      </c>
      <c r="P221" s="225">
        <f t="shared" si="346"/>
        <v>0.40563057324840757</v>
      </c>
      <c r="Q221" s="225">
        <f t="shared" si="347"/>
        <v>15</v>
      </c>
      <c r="R221" s="225"/>
      <c r="S221" s="180">
        <f t="shared" si="348"/>
        <v>1020.005880877643</v>
      </c>
      <c r="T221" s="180">
        <f t="shared" si="349"/>
        <v>15</v>
      </c>
      <c r="U221" s="225">
        <f t="shared" si="350"/>
        <v>5.3620218579234963E-2</v>
      </c>
      <c r="V221" s="225">
        <f t="shared" si="351"/>
        <v>8.9367030965391614E-2</v>
      </c>
      <c r="W221" s="225">
        <f t="shared" si="352"/>
        <v>0.14064319627340319</v>
      </c>
      <c r="X221" s="205">
        <f t="shared" si="353"/>
        <v>350</v>
      </c>
      <c r="Y221" s="456">
        <f t="shared" si="354"/>
        <v>350</v>
      </c>
      <c r="AA221" s="225">
        <f t="shared" si="355"/>
        <v>0.66606005459508633</v>
      </c>
      <c r="AB221" s="181">
        <f t="shared" si="356"/>
        <v>1.7470427661510461</v>
      </c>
      <c r="AC221" s="181">
        <f t="shared" si="357"/>
        <v>0.20363619503544039</v>
      </c>
      <c r="AD221" s="181"/>
      <c r="AE221" s="181">
        <f t="shared" si="358"/>
        <v>0.76065573770491812</v>
      </c>
      <c r="AF221" s="565">
        <f t="shared" si="359"/>
        <v>135.9988109393579</v>
      </c>
      <c r="AG221" s="548">
        <f t="shared" si="360"/>
        <v>3.8603278688524589E-2</v>
      </c>
      <c r="AI221" s="181">
        <f t="shared" si="361"/>
        <v>0.1807721533549109</v>
      </c>
      <c r="AJ221" s="181">
        <f t="shared" si="362"/>
        <v>0.28999999999999998</v>
      </c>
      <c r="AK221" s="181">
        <f t="shared" si="363"/>
        <v>1.0777136062510617</v>
      </c>
      <c r="AM221" s="565">
        <f t="shared" si="364"/>
        <v>15</v>
      </c>
      <c r="AN221" s="474">
        <f t="shared" si="365"/>
        <v>135.9988109393579</v>
      </c>
      <c r="AP221">
        <f t="shared" si="366"/>
        <v>15</v>
      </c>
      <c r="AQ221">
        <f t="shared" si="367"/>
        <v>135.9988109393579</v>
      </c>
      <c r="AS221" s="6">
        <f t="shared" si="326"/>
        <v>7.3530054644808747</v>
      </c>
      <c r="AT221" s="6">
        <f t="shared" si="368"/>
        <v>0.48333333333333339</v>
      </c>
      <c r="AU221" s="6">
        <f t="shared" si="272"/>
        <v>6.8696721311475413</v>
      </c>
      <c r="AV221" s="6"/>
      <c r="AW221" s="181">
        <f t="shared" si="273"/>
        <v>6.5732758620689655E-2</v>
      </c>
      <c r="AX221" s="181"/>
      <c r="CB221" s="583">
        <f t="shared" si="369"/>
        <v>-50</v>
      </c>
      <c r="CC221">
        <f t="shared" si="370"/>
        <v>-50</v>
      </c>
    </row>
    <row r="222" spans="5:83" x14ac:dyDescent="0.2">
      <c r="E222" s="178">
        <v>6</v>
      </c>
      <c r="F222" s="225">
        <f t="shared" si="371"/>
        <v>1.7999999999999999E-2</v>
      </c>
      <c r="G222" s="225"/>
      <c r="H222" s="225">
        <f t="shared" si="340"/>
        <v>0.26999999999999996</v>
      </c>
      <c r="I222" s="561">
        <f t="shared" si="341"/>
        <v>24</v>
      </c>
      <c r="J222" s="456">
        <f t="shared" si="342"/>
        <v>15.25</v>
      </c>
      <c r="K222" s="456">
        <f t="shared" si="343"/>
        <v>39.25</v>
      </c>
      <c r="L222" s="456"/>
      <c r="M222" s="225">
        <f t="shared" si="344"/>
        <v>0.38853503184713378</v>
      </c>
      <c r="N222" s="180">
        <f t="shared" si="345"/>
        <v>6.0844585987261137</v>
      </c>
      <c r="O222" s="180">
        <f t="shared" si="325"/>
        <v>0.26999999999999996</v>
      </c>
      <c r="P222" s="225">
        <f t="shared" si="346"/>
        <v>0.40563057324840757</v>
      </c>
      <c r="Q222" s="225">
        <f t="shared" si="347"/>
        <v>15</v>
      </c>
      <c r="R222" s="225"/>
      <c r="S222" s="180">
        <f t="shared" si="348"/>
        <v>846.00709004399573</v>
      </c>
      <c r="T222" s="180">
        <f t="shared" si="349"/>
        <v>15</v>
      </c>
      <c r="U222" s="225">
        <f t="shared" si="350"/>
        <v>6.4344262295081958E-2</v>
      </c>
      <c r="V222" s="225">
        <f t="shared" si="351"/>
        <v>0.10724043715846995</v>
      </c>
      <c r="W222" s="225">
        <f t="shared" si="352"/>
        <v>0.16877183552808384</v>
      </c>
      <c r="X222" s="205">
        <f t="shared" si="353"/>
        <v>350</v>
      </c>
      <c r="Y222" s="456">
        <f t="shared" si="354"/>
        <v>350</v>
      </c>
      <c r="AA222" s="225">
        <f t="shared" si="355"/>
        <v>0.66606005459508633</v>
      </c>
      <c r="AB222" s="181">
        <f t="shared" si="356"/>
        <v>1.7470427661510461</v>
      </c>
      <c r="AC222" s="181">
        <f t="shared" si="357"/>
        <v>0.20363619503544039</v>
      </c>
      <c r="AD222" s="181"/>
      <c r="AE222" s="181">
        <f t="shared" si="358"/>
        <v>0.76065573770491812</v>
      </c>
      <c r="AF222" s="565">
        <f t="shared" si="359"/>
        <v>163.19857312722945</v>
      </c>
      <c r="AG222" s="548">
        <f t="shared" si="360"/>
        <v>3.8603278688524589E-2</v>
      </c>
      <c r="AI222" s="181">
        <f t="shared" si="361"/>
        <v>0.19802597232253577</v>
      </c>
      <c r="AJ222" s="181">
        <f t="shared" si="362"/>
        <v>0.28999999999999998</v>
      </c>
      <c r="AK222" s="181">
        <f t="shared" si="363"/>
        <v>1.0932563275012739</v>
      </c>
      <c r="AM222" s="565">
        <f t="shared" si="364"/>
        <v>18</v>
      </c>
      <c r="AN222" s="474">
        <f t="shared" si="365"/>
        <v>163.19857312722945</v>
      </c>
      <c r="AP222">
        <f t="shared" si="366"/>
        <v>18</v>
      </c>
      <c r="AQ222">
        <f t="shared" si="367"/>
        <v>163.19857312722945</v>
      </c>
      <c r="AS222" s="6">
        <f t="shared" si="326"/>
        <v>6.127504553734064</v>
      </c>
      <c r="AT222" s="6">
        <f t="shared" si="368"/>
        <v>0.48333333333333339</v>
      </c>
      <c r="AU222" s="6">
        <f t="shared" si="272"/>
        <v>5.6441712204007306</v>
      </c>
      <c r="AV222" s="6"/>
      <c r="AW222" s="181">
        <f t="shared" si="273"/>
        <v>7.8879310344827563E-2</v>
      </c>
      <c r="AX222" s="181"/>
      <c r="CB222" s="583">
        <f t="shared" si="369"/>
        <v>-50</v>
      </c>
      <c r="CC222">
        <f t="shared" si="370"/>
        <v>-50</v>
      </c>
    </row>
    <row r="223" spans="5:83" x14ac:dyDescent="0.2">
      <c r="E223" s="178">
        <v>7</v>
      </c>
      <c r="F223" s="225">
        <f t="shared" si="371"/>
        <v>2.1000000000000001E-2</v>
      </c>
      <c r="G223" s="225"/>
      <c r="H223" s="225">
        <f t="shared" si="340"/>
        <v>0.315</v>
      </c>
      <c r="I223" s="561">
        <f t="shared" si="341"/>
        <v>24</v>
      </c>
      <c r="J223" s="456">
        <f t="shared" si="342"/>
        <v>15.25</v>
      </c>
      <c r="K223" s="456">
        <f t="shared" si="343"/>
        <v>39.25</v>
      </c>
      <c r="L223" s="456"/>
      <c r="M223" s="225">
        <f t="shared" si="344"/>
        <v>0.38853503184713378</v>
      </c>
      <c r="N223" s="180">
        <f t="shared" si="345"/>
        <v>6.0844585987261137</v>
      </c>
      <c r="O223" s="180">
        <f t="shared" si="325"/>
        <v>0.315</v>
      </c>
      <c r="P223" s="225">
        <f t="shared" si="346"/>
        <v>0.40563057324840757</v>
      </c>
      <c r="Q223" s="225">
        <f t="shared" si="347"/>
        <v>15</v>
      </c>
      <c r="R223" s="225"/>
      <c r="S223" s="180">
        <f t="shared" si="348"/>
        <v>721.72259627902304</v>
      </c>
      <c r="T223" s="180">
        <f t="shared" si="349"/>
        <v>15</v>
      </c>
      <c r="U223" s="225">
        <f t="shared" si="350"/>
        <v>7.5068306010928953E-2</v>
      </c>
      <c r="V223" s="225">
        <f t="shared" si="351"/>
        <v>0.12511384335154827</v>
      </c>
      <c r="W223" s="225">
        <f t="shared" si="352"/>
        <v>0.19690047478276451</v>
      </c>
      <c r="X223" s="205">
        <f t="shared" si="353"/>
        <v>350</v>
      </c>
      <c r="Y223" s="456">
        <f t="shared" si="354"/>
        <v>350</v>
      </c>
      <c r="AA223" s="225">
        <f t="shared" si="355"/>
        <v>0.66606005459508633</v>
      </c>
      <c r="AB223" s="181">
        <f t="shared" si="356"/>
        <v>1.7470427661510461</v>
      </c>
      <c r="AC223" s="181">
        <f t="shared" si="357"/>
        <v>0.20363619503544039</v>
      </c>
      <c r="AD223" s="181"/>
      <c r="AE223" s="181">
        <f t="shared" si="358"/>
        <v>0.76065573770491812</v>
      </c>
      <c r="AF223" s="565">
        <f t="shared" si="359"/>
        <v>190.39833531510109</v>
      </c>
      <c r="AG223" s="548">
        <f t="shared" si="360"/>
        <v>3.8603278688524589E-2</v>
      </c>
      <c r="AI223" s="181">
        <f t="shared" si="361"/>
        <v>0.21389249636207439</v>
      </c>
      <c r="AJ223" s="181">
        <f t="shared" si="362"/>
        <v>0.28999999999999998</v>
      </c>
      <c r="AK223" s="181">
        <f t="shared" si="363"/>
        <v>1.1087990487514863</v>
      </c>
      <c r="AM223" s="565">
        <f t="shared" si="364"/>
        <v>21</v>
      </c>
      <c r="AN223" s="474">
        <f t="shared" si="365"/>
        <v>190.39833531510109</v>
      </c>
      <c r="AP223">
        <f t="shared" si="366"/>
        <v>21</v>
      </c>
      <c r="AQ223">
        <f t="shared" si="367"/>
        <v>190.39833531510109</v>
      </c>
      <c r="AS223" s="6">
        <f t="shared" si="326"/>
        <v>5.2521467603434813</v>
      </c>
      <c r="AT223" s="6">
        <f t="shared" si="368"/>
        <v>0.48333333333333339</v>
      </c>
      <c r="AU223" s="6">
        <f t="shared" si="272"/>
        <v>4.7688134270101479</v>
      </c>
      <c r="AV223" s="6"/>
      <c r="AW223" s="181">
        <f t="shared" si="273"/>
        <v>9.2025862068965542E-2</v>
      </c>
      <c r="AX223" s="181"/>
      <c r="CB223" s="583">
        <f t="shared" si="369"/>
        <v>-50</v>
      </c>
      <c r="CC223">
        <f t="shared" si="370"/>
        <v>-50</v>
      </c>
    </row>
    <row r="224" spans="5:83" x14ac:dyDescent="0.2">
      <c r="E224" s="178">
        <v>8</v>
      </c>
      <c r="F224" s="225">
        <f t="shared" si="371"/>
        <v>2.4E-2</v>
      </c>
      <c r="G224" s="225"/>
      <c r="H224" s="225">
        <f t="shared" si="340"/>
        <v>0.36</v>
      </c>
      <c r="I224" s="561">
        <f t="shared" si="341"/>
        <v>24</v>
      </c>
      <c r="J224" s="456">
        <f t="shared" si="342"/>
        <v>15.25</v>
      </c>
      <c r="K224" s="456">
        <f t="shared" si="343"/>
        <v>39.25</v>
      </c>
      <c r="L224" s="456"/>
      <c r="M224" s="225">
        <f t="shared" si="344"/>
        <v>0.38853503184713378</v>
      </c>
      <c r="N224" s="180">
        <f t="shared" si="345"/>
        <v>6.0844585987261137</v>
      </c>
      <c r="O224" s="180">
        <f t="shared" si="325"/>
        <v>0.36</v>
      </c>
      <c r="P224" s="225">
        <f t="shared" si="346"/>
        <v>0.40563057324840757</v>
      </c>
      <c r="Q224" s="225">
        <f t="shared" si="347"/>
        <v>15</v>
      </c>
      <c r="R224" s="225"/>
      <c r="S224" s="180">
        <f t="shared" si="348"/>
        <v>628.5095425987098</v>
      </c>
      <c r="T224" s="180">
        <f t="shared" si="349"/>
        <v>15</v>
      </c>
      <c r="U224" s="225">
        <f t="shared" si="350"/>
        <v>8.5792349726775949E-2</v>
      </c>
      <c r="V224" s="225">
        <f t="shared" si="351"/>
        <v>0.1429872495446266</v>
      </c>
      <c r="W224" s="225">
        <f t="shared" si="352"/>
        <v>0.22502911403744513</v>
      </c>
      <c r="X224" s="205">
        <f t="shared" si="353"/>
        <v>350</v>
      </c>
      <c r="Y224" s="456">
        <f t="shared" si="354"/>
        <v>350</v>
      </c>
      <c r="AA224" s="225">
        <f t="shared" si="355"/>
        <v>0.66606005459508633</v>
      </c>
      <c r="AB224" s="181">
        <f t="shared" si="356"/>
        <v>1.7470427661510461</v>
      </c>
      <c r="AC224" s="181">
        <f t="shared" si="357"/>
        <v>0.20363619503544039</v>
      </c>
      <c r="AD224" s="181"/>
      <c r="AE224" s="181">
        <f t="shared" si="358"/>
        <v>0.76065573770491812</v>
      </c>
      <c r="AF224" s="565">
        <f t="shared" si="359"/>
        <v>217.59809750297265</v>
      </c>
      <c r="AG224" s="548">
        <f t="shared" si="360"/>
        <v>3.8603278688524589E-2</v>
      </c>
      <c r="AI224" s="181">
        <f t="shared" si="361"/>
        <v>0.22866069685390683</v>
      </c>
      <c r="AJ224" s="181">
        <f t="shared" si="362"/>
        <v>0.28999999999999998</v>
      </c>
      <c r="AK224" s="181">
        <f t="shared" si="363"/>
        <v>1.1243417700016987</v>
      </c>
      <c r="AM224" s="565">
        <f t="shared" si="364"/>
        <v>24</v>
      </c>
      <c r="AN224" s="474">
        <f t="shared" si="365"/>
        <v>217.59809750297265</v>
      </c>
      <c r="AP224">
        <f t="shared" si="366"/>
        <v>24</v>
      </c>
      <c r="AQ224">
        <f t="shared" si="367"/>
        <v>217.59809750297265</v>
      </c>
      <c r="AS224" s="6">
        <f t="shared" si="326"/>
        <v>4.5956284153005464</v>
      </c>
      <c r="AT224" s="6">
        <f t="shared" si="368"/>
        <v>0.48333333333333339</v>
      </c>
      <c r="AU224" s="6">
        <f t="shared" si="272"/>
        <v>4.1122950819672131</v>
      </c>
      <c r="AV224" s="6"/>
      <c r="AW224" s="181">
        <f t="shared" si="273"/>
        <v>0.10517241379310346</v>
      </c>
      <c r="AX224" s="181"/>
      <c r="CB224" s="583">
        <f t="shared" si="369"/>
        <v>-50</v>
      </c>
      <c r="CC224">
        <f t="shared" si="370"/>
        <v>-50</v>
      </c>
    </row>
    <row r="225" spans="5:81" x14ac:dyDescent="0.2">
      <c r="E225" s="178">
        <v>9</v>
      </c>
      <c r="F225" s="225">
        <f t="shared" si="371"/>
        <v>2.7E-2</v>
      </c>
      <c r="G225" s="225"/>
      <c r="H225" s="225">
        <f t="shared" si="340"/>
        <v>0.40499999999999997</v>
      </c>
      <c r="I225" s="561">
        <f t="shared" si="341"/>
        <v>24</v>
      </c>
      <c r="J225" s="456">
        <f t="shared" si="342"/>
        <v>15.25</v>
      </c>
      <c r="K225" s="456">
        <f t="shared" si="343"/>
        <v>39.25</v>
      </c>
      <c r="L225" s="456"/>
      <c r="M225" s="225">
        <f t="shared" si="344"/>
        <v>0.38853503184713378</v>
      </c>
      <c r="N225" s="180">
        <f t="shared" si="345"/>
        <v>6.0844585987261137</v>
      </c>
      <c r="O225" s="180">
        <f t="shared" si="325"/>
        <v>0.40499999999999997</v>
      </c>
      <c r="P225" s="225">
        <f t="shared" si="346"/>
        <v>0.40563057324840757</v>
      </c>
      <c r="Q225" s="225">
        <f t="shared" si="347"/>
        <v>15</v>
      </c>
      <c r="R225" s="225"/>
      <c r="S225" s="180">
        <f t="shared" si="348"/>
        <v>556.0107863076953</v>
      </c>
      <c r="T225" s="180">
        <f t="shared" si="349"/>
        <v>15</v>
      </c>
      <c r="U225" s="225">
        <f t="shared" si="350"/>
        <v>9.651639344262293E-2</v>
      </c>
      <c r="V225" s="225">
        <f t="shared" si="351"/>
        <v>0.16086065573770492</v>
      </c>
      <c r="W225" s="225">
        <f t="shared" si="352"/>
        <v>0.25315775329212575</v>
      </c>
      <c r="X225" s="205">
        <f t="shared" si="353"/>
        <v>350</v>
      </c>
      <c r="Y225" s="456">
        <f t="shared" si="354"/>
        <v>350</v>
      </c>
      <c r="AA225" s="225">
        <f t="shared" si="355"/>
        <v>0.66606005459508633</v>
      </c>
      <c r="AB225" s="181">
        <f t="shared" si="356"/>
        <v>1.7470427661510461</v>
      </c>
      <c r="AC225" s="181">
        <f t="shared" si="357"/>
        <v>0.20363619503544039</v>
      </c>
      <c r="AD225" s="181"/>
      <c r="AE225" s="181">
        <f t="shared" si="358"/>
        <v>0.76065573770491812</v>
      </c>
      <c r="AF225" s="565">
        <f t="shared" si="359"/>
        <v>244.79785969084423</v>
      </c>
      <c r="AG225" s="548">
        <f t="shared" si="360"/>
        <v>3.8603278688524589E-2</v>
      </c>
      <c r="AI225" s="181">
        <f t="shared" si="361"/>
        <v>0.24253129400435847</v>
      </c>
      <c r="AJ225" s="181">
        <f t="shared" si="362"/>
        <v>0.28999999999999998</v>
      </c>
      <c r="AK225" s="181">
        <f t="shared" si="363"/>
        <v>1.139884491251911</v>
      </c>
      <c r="AM225" s="565">
        <f t="shared" si="364"/>
        <v>27</v>
      </c>
      <c r="AN225" s="474">
        <f t="shared" si="365"/>
        <v>244.79785969084423</v>
      </c>
      <c r="AP225">
        <f t="shared" si="366"/>
        <v>27</v>
      </c>
      <c r="AQ225">
        <f t="shared" si="367"/>
        <v>244.79785969084423</v>
      </c>
      <c r="AS225" s="6">
        <f t="shared" si="326"/>
        <v>4.0850030358227079</v>
      </c>
      <c r="AT225" s="6">
        <f t="shared" si="368"/>
        <v>0.48333333333333339</v>
      </c>
      <c r="AU225" s="6">
        <f t="shared" si="272"/>
        <v>3.6016697024893745</v>
      </c>
      <c r="AV225" s="6"/>
      <c r="AW225" s="181">
        <f t="shared" si="273"/>
        <v>0.1183189655172414</v>
      </c>
      <c r="AX225" s="181"/>
      <c r="CB225" s="583">
        <f t="shared" si="369"/>
        <v>-50</v>
      </c>
      <c r="CC225">
        <f t="shared" si="370"/>
        <v>-50</v>
      </c>
    </row>
    <row r="226" spans="5:81" x14ac:dyDescent="0.2">
      <c r="E226" s="178">
        <v>10</v>
      </c>
      <c r="F226" s="225">
        <f t="shared" si="371"/>
        <v>0.03</v>
      </c>
      <c r="G226" s="225"/>
      <c r="H226" s="225">
        <f t="shared" si="340"/>
        <v>0.44999999999999996</v>
      </c>
      <c r="I226" s="561">
        <f t="shared" si="341"/>
        <v>24</v>
      </c>
      <c r="J226" s="456">
        <f t="shared" si="342"/>
        <v>15.25</v>
      </c>
      <c r="K226" s="456">
        <f t="shared" si="343"/>
        <v>39.25</v>
      </c>
      <c r="L226" s="456"/>
      <c r="M226" s="225">
        <f t="shared" si="344"/>
        <v>0.38853503184713378</v>
      </c>
      <c r="N226" s="180">
        <f t="shared" si="345"/>
        <v>6.0844585987261137</v>
      </c>
      <c r="O226" s="180">
        <f t="shared" si="325"/>
        <v>0.44999999999999996</v>
      </c>
      <c r="P226" s="225">
        <f t="shared" si="346"/>
        <v>0.40563057324840757</v>
      </c>
      <c r="Q226" s="225">
        <f t="shared" si="347"/>
        <v>15</v>
      </c>
      <c r="R226" s="225"/>
      <c r="S226" s="180">
        <f t="shared" si="348"/>
        <v>498.01204185648504</v>
      </c>
      <c r="T226" s="180">
        <f t="shared" si="349"/>
        <v>15</v>
      </c>
      <c r="U226" s="225">
        <f t="shared" si="350"/>
        <v>0.10724043715846993</v>
      </c>
      <c r="V226" s="225">
        <f t="shared" si="351"/>
        <v>0.17873406193078323</v>
      </c>
      <c r="W226" s="225">
        <f t="shared" si="352"/>
        <v>0.28128639254680637</v>
      </c>
      <c r="X226" s="205">
        <f t="shared" si="353"/>
        <v>350</v>
      </c>
      <c r="Y226" s="456">
        <f t="shared" si="354"/>
        <v>350</v>
      </c>
      <c r="AA226" s="225">
        <f t="shared" si="355"/>
        <v>0.66606005459508633</v>
      </c>
      <c r="AB226" s="181">
        <f t="shared" si="356"/>
        <v>1.7470427661510461</v>
      </c>
      <c r="AC226" s="181">
        <f t="shared" si="357"/>
        <v>0.20363619503544039</v>
      </c>
      <c r="AD226" s="181"/>
      <c r="AE226" s="181">
        <f t="shared" si="358"/>
        <v>0.76065573770491812</v>
      </c>
      <c r="AF226" s="565">
        <f t="shared" si="359"/>
        <v>271.99762187871579</v>
      </c>
      <c r="AG226" s="548">
        <f t="shared" si="360"/>
        <v>3.8603278688524589E-2</v>
      </c>
      <c r="AI226" s="181">
        <f t="shared" si="361"/>
        <v>0.255650430973904</v>
      </c>
      <c r="AJ226" s="181">
        <f t="shared" si="362"/>
        <v>0.28999999999999998</v>
      </c>
      <c r="AK226" s="181">
        <f t="shared" si="363"/>
        <v>1.1554272125021234</v>
      </c>
      <c r="AM226" s="565">
        <f t="shared" si="364"/>
        <v>30</v>
      </c>
      <c r="AN226" s="474">
        <f t="shared" si="365"/>
        <v>271.99762187871579</v>
      </c>
      <c r="AP226">
        <f t="shared" si="366"/>
        <v>30</v>
      </c>
      <c r="AQ226">
        <f t="shared" si="367"/>
        <v>271.99762187871579</v>
      </c>
      <c r="AS226" s="6">
        <f t="shared" si="326"/>
        <v>3.6765027322404373</v>
      </c>
      <c r="AT226" s="6">
        <f t="shared" si="368"/>
        <v>0.48333333333333339</v>
      </c>
      <c r="AU226" s="6">
        <f t="shared" si="272"/>
        <v>3.1931693989071039</v>
      </c>
      <c r="AV226" s="6"/>
      <c r="AW226" s="181">
        <f t="shared" si="273"/>
        <v>0.13146551724137931</v>
      </c>
      <c r="AX226" s="181"/>
      <c r="CB226" s="583">
        <f t="shared" si="369"/>
        <v>-50</v>
      </c>
      <c r="CC226">
        <f t="shared" si="370"/>
        <v>-50</v>
      </c>
    </row>
    <row r="227" spans="5:81" x14ac:dyDescent="0.2">
      <c r="E227" s="178">
        <v>11</v>
      </c>
      <c r="F227" s="225">
        <f t="shared" si="371"/>
        <v>3.3000000000000002E-2</v>
      </c>
      <c r="G227" s="225"/>
      <c r="H227" s="225">
        <f t="shared" si="340"/>
        <v>0.495</v>
      </c>
      <c r="I227" s="561">
        <f t="shared" si="341"/>
        <v>24</v>
      </c>
      <c r="J227" s="456">
        <f t="shared" si="342"/>
        <v>15.25</v>
      </c>
      <c r="K227" s="456">
        <f t="shared" si="343"/>
        <v>39.25</v>
      </c>
      <c r="L227" s="456"/>
      <c r="M227" s="225">
        <f t="shared" si="344"/>
        <v>0.38853503184713378</v>
      </c>
      <c r="N227" s="180">
        <f t="shared" si="345"/>
        <v>6.0844585987261137</v>
      </c>
      <c r="O227" s="180">
        <f t="shared" si="325"/>
        <v>0.495</v>
      </c>
      <c r="P227" s="225">
        <f t="shared" si="346"/>
        <v>0.40563057324840757</v>
      </c>
      <c r="Q227" s="225">
        <f t="shared" si="347"/>
        <v>15</v>
      </c>
      <c r="R227" s="225"/>
      <c r="S227" s="180">
        <f t="shared" si="348"/>
        <v>450.55876395840227</v>
      </c>
      <c r="T227" s="180">
        <f t="shared" si="349"/>
        <v>15</v>
      </c>
      <c r="U227" s="225">
        <f t="shared" si="350"/>
        <v>0.11796448087431692</v>
      </c>
      <c r="V227" s="225">
        <f t="shared" si="351"/>
        <v>0.19660746812386157</v>
      </c>
      <c r="W227" s="225">
        <f t="shared" si="352"/>
        <v>0.30941503180148705</v>
      </c>
      <c r="X227" s="205">
        <f t="shared" si="353"/>
        <v>350</v>
      </c>
      <c r="Y227" s="456">
        <f t="shared" si="354"/>
        <v>350</v>
      </c>
      <c r="AA227" s="225">
        <f t="shared" si="355"/>
        <v>0.66606005459508633</v>
      </c>
      <c r="AB227" s="181">
        <f t="shared" si="356"/>
        <v>1.7470427661510461</v>
      </c>
      <c r="AC227" s="181">
        <f t="shared" si="357"/>
        <v>0.20363619503544039</v>
      </c>
      <c r="AD227" s="181"/>
      <c r="AE227" s="181">
        <f t="shared" si="358"/>
        <v>0.76065573770491812</v>
      </c>
      <c r="AF227" s="565">
        <f t="shared" si="359"/>
        <v>299.1973840665874</v>
      </c>
      <c r="AG227" s="548">
        <f t="shared" si="360"/>
        <v>3.8603278688524589E-2</v>
      </c>
      <c r="AI227" s="181">
        <f t="shared" si="361"/>
        <v>0.2681284340439431</v>
      </c>
      <c r="AJ227" s="181">
        <f t="shared" si="362"/>
        <v>0.28999999999999998</v>
      </c>
      <c r="AK227" s="181">
        <f t="shared" si="363"/>
        <v>1.1709699337523356</v>
      </c>
      <c r="AM227" s="565">
        <f t="shared" si="364"/>
        <v>33</v>
      </c>
      <c r="AN227" s="474">
        <f t="shared" si="365"/>
        <v>299.1973840665874</v>
      </c>
      <c r="AP227">
        <f t="shared" si="366"/>
        <v>33</v>
      </c>
      <c r="AQ227">
        <f t="shared" si="367"/>
        <v>299.1973840665874</v>
      </c>
      <c r="AS227" s="6">
        <f t="shared" si="326"/>
        <v>3.3422752111276699</v>
      </c>
      <c r="AT227" s="6">
        <f t="shared" si="368"/>
        <v>0.48333333333333339</v>
      </c>
      <c r="AU227" s="6">
        <f t="shared" si="272"/>
        <v>2.8589418777943365</v>
      </c>
      <c r="AV227" s="6"/>
      <c r="AW227" s="181">
        <f t="shared" si="273"/>
        <v>0.14461206896551726</v>
      </c>
      <c r="AX227" s="181"/>
      <c r="CB227" s="583">
        <f t="shared" si="369"/>
        <v>-50</v>
      </c>
      <c r="CC227">
        <f t="shared" si="370"/>
        <v>-50</v>
      </c>
    </row>
    <row r="228" spans="5:81" x14ac:dyDescent="0.2">
      <c r="E228" s="178">
        <v>12</v>
      </c>
      <c r="F228" s="225">
        <f t="shared" si="371"/>
        <v>3.5999999999999997E-2</v>
      </c>
      <c r="G228" s="225"/>
      <c r="H228" s="225">
        <f t="shared" si="340"/>
        <v>0.53999999999999992</v>
      </c>
      <c r="I228" s="561">
        <f t="shared" si="341"/>
        <v>24</v>
      </c>
      <c r="J228" s="456">
        <f t="shared" si="342"/>
        <v>15.25</v>
      </c>
      <c r="K228" s="456">
        <f t="shared" si="343"/>
        <v>39.25</v>
      </c>
      <c r="L228" s="456"/>
      <c r="M228" s="225">
        <f t="shared" si="344"/>
        <v>0.38853503184713378</v>
      </c>
      <c r="N228" s="180">
        <f t="shared" si="345"/>
        <v>6.0844585987261137</v>
      </c>
      <c r="O228" s="180">
        <f t="shared" si="325"/>
        <v>0.53999999999999992</v>
      </c>
      <c r="P228" s="225">
        <f t="shared" si="346"/>
        <v>0.40563057324840757</v>
      </c>
      <c r="Q228" s="225">
        <f t="shared" si="347"/>
        <v>15</v>
      </c>
      <c r="R228" s="225"/>
      <c r="S228" s="180">
        <f t="shared" si="348"/>
        <v>411.01458914810161</v>
      </c>
      <c r="T228" s="180">
        <f t="shared" si="349"/>
        <v>15</v>
      </c>
      <c r="U228" s="225">
        <f t="shared" si="350"/>
        <v>0.12868852459016392</v>
      </c>
      <c r="V228" s="225">
        <f t="shared" si="351"/>
        <v>0.21448087431693991</v>
      </c>
      <c r="W228" s="225">
        <f t="shared" si="352"/>
        <v>0.33754367105616767</v>
      </c>
      <c r="X228" s="205">
        <f t="shared" si="353"/>
        <v>350</v>
      </c>
      <c r="Y228" s="456">
        <f t="shared" si="354"/>
        <v>350</v>
      </c>
      <c r="AA228" s="225">
        <f t="shared" si="355"/>
        <v>0.66606005459508633</v>
      </c>
      <c r="AB228" s="181">
        <f t="shared" si="356"/>
        <v>1.7470427661510461</v>
      </c>
      <c r="AC228" s="181">
        <f t="shared" si="357"/>
        <v>0.20363619503544039</v>
      </c>
      <c r="AD228" s="181"/>
      <c r="AE228" s="181">
        <f t="shared" si="358"/>
        <v>0.76065573770491812</v>
      </c>
      <c r="AF228" s="565">
        <f t="shared" si="359"/>
        <v>326.3971462544589</v>
      </c>
      <c r="AG228" s="548">
        <f t="shared" si="360"/>
        <v>3.8603278688524589E-2</v>
      </c>
      <c r="AI228" s="181">
        <f t="shared" si="361"/>
        <v>0.28005101576064928</v>
      </c>
      <c r="AJ228" s="181">
        <f t="shared" si="362"/>
        <v>0.28999999999999998</v>
      </c>
      <c r="AK228" s="181">
        <f t="shared" si="363"/>
        <v>1.186512655002548</v>
      </c>
      <c r="AM228" s="565">
        <f t="shared" si="364"/>
        <v>36</v>
      </c>
      <c r="AN228" s="474">
        <f t="shared" si="365"/>
        <v>326.3971462544589</v>
      </c>
      <c r="AP228">
        <f t="shared" si="366"/>
        <v>36</v>
      </c>
      <c r="AQ228">
        <f t="shared" si="367"/>
        <v>326.3971462544589</v>
      </c>
      <c r="AS228" s="6">
        <f t="shared" si="326"/>
        <v>3.063752276867032</v>
      </c>
      <c r="AT228" s="6">
        <f t="shared" si="368"/>
        <v>0.48333333333333339</v>
      </c>
      <c r="AU228" s="6">
        <f t="shared" si="272"/>
        <v>2.5804189435336986</v>
      </c>
      <c r="AV228" s="6"/>
      <c r="AW228" s="181">
        <f t="shared" si="273"/>
        <v>0.15775862068965513</v>
      </c>
      <c r="AX228" s="181"/>
      <c r="CB228" s="583">
        <f t="shared" si="369"/>
        <v>-50</v>
      </c>
      <c r="CC228">
        <f t="shared" si="370"/>
        <v>-50</v>
      </c>
    </row>
    <row r="229" spans="5:81" x14ac:dyDescent="0.2">
      <c r="E229" s="178">
        <v>13</v>
      </c>
      <c r="F229" s="225">
        <f t="shared" si="371"/>
        <v>3.9E-2</v>
      </c>
      <c r="G229" s="225"/>
      <c r="H229" s="225">
        <f t="shared" si="340"/>
        <v>0.58499999999999996</v>
      </c>
      <c r="I229" s="561">
        <f t="shared" si="341"/>
        <v>24</v>
      </c>
      <c r="J229" s="456">
        <f t="shared" si="342"/>
        <v>15.25</v>
      </c>
      <c r="K229" s="456">
        <f t="shared" si="343"/>
        <v>39.25</v>
      </c>
      <c r="L229" s="456"/>
      <c r="M229" s="225">
        <f t="shared" si="344"/>
        <v>0.38853503184713378</v>
      </c>
      <c r="N229" s="180">
        <f t="shared" si="345"/>
        <v>6.0844585987261137</v>
      </c>
      <c r="O229" s="180">
        <f t="shared" si="325"/>
        <v>0.58499999999999996</v>
      </c>
      <c r="P229" s="225">
        <f t="shared" si="346"/>
        <v>0.40563057324840757</v>
      </c>
      <c r="Q229" s="225">
        <f t="shared" si="347"/>
        <v>15</v>
      </c>
      <c r="R229" s="225"/>
      <c r="S229" s="180">
        <f t="shared" si="348"/>
        <v>377.55434277464832</v>
      </c>
      <c r="T229" s="180">
        <f t="shared" si="349"/>
        <v>15</v>
      </c>
      <c r="U229" s="225">
        <f t="shared" si="350"/>
        <v>0.1394125683060109</v>
      </c>
      <c r="V229" s="225">
        <f t="shared" si="351"/>
        <v>0.23235428051001819</v>
      </c>
      <c r="W229" s="225">
        <f t="shared" si="352"/>
        <v>0.36567231031084824</v>
      </c>
      <c r="X229" s="205">
        <f t="shared" si="353"/>
        <v>350</v>
      </c>
      <c r="Y229" s="456">
        <f t="shared" si="354"/>
        <v>350</v>
      </c>
      <c r="AA229" s="225">
        <f t="shared" si="355"/>
        <v>0.66606005459508633</v>
      </c>
      <c r="AB229" s="181">
        <f t="shared" si="356"/>
        <v>1.7470427661510461</v>
      </c>
      <c r="AC229" s="181">
        <f t="shared" si="357"/>
        <v>0.20363619503544039</v>
      </c>
      <c r="AD229" s="181"/>
      <c r="AE229" s="181">
        <f t="shared" si="358"/>
        <v>0.76065573770491812</v>
      </c>
      <c r="AF229" s="565">
        <f t="shared" si="359"/>
        <v>353.59690844233057</v>
      </c>
      <c r="AG229" s="548">
        <f t="shared" si="360"/>
        <v>3.8603278688524589E-2</v>
      </c>
      <c r="AI229" s="181">
        <f t="shared" si="361"/>
        <v>0.29148633881244884</v>
      </c>
      <c r="AJ229" s="181">
        <f t="shared" si="362"/>
        <v>0.29148633881244884</v>
      </c>
      <c r="AK229" s="181">
        <f t="shared" si="363"/>
        <v>1.2011009917129249</v>
      </c>
      <c r="AM229" s="565">
        <f t="shared" si="364"/>
        <v>39</v>
      </c>
      <c r="AN229" s="474">
        <f t="shared" si="365"/>
        <v>350</v>
      </c>
      <c r="AP229">
        <f t="shared" si="366"/>
        <v>39</v>
      </c>
      <c r="AQ229">
        <f t="shared" si="367"/>
        <v>350</v>
      </c>
      <c r="AS229" s="6">
        <f t="shared" si="326"/>
        <v>2.8571428571428572</v>
      </c>
      <c r="AT229" s="6">
        <f t="shared" si="368"/>
        <v>0.48581056468741485</v>
      </c>
      <c r="AU229" s="6">
        <f t="shared" si="272"/>
        <v>2.3713322924554423</v>
      </c>
      <c r="AV229" s="6"/>
      <c r="AW229" s="181">
        <f t="shared" si="273"/>
        <v>0.1700336976405952</v>
      </c>
      <c r="AX229" s="181"/>
      <c r="CB229" s="583">
        <f t="shared" si="369"/>
        <v>-50</v>
      </c>
      <c r="CC229">
        <f t="shared" si="370"/>
        <v>-50</v>
      </c>
    </row>
    <row r="230" spans="5:81" x14ac:dyDescent="0.2">
      <c r="E230" s="178">
        <v>14</v>
      </c>
      <c r="F230" s="225">
        <f t="shared" si="371"/>
        <v>4.2000000000000003E-2</v>
      </c>
      <c r="G230" s="225"/>
      <c r="H230" s="225">
        <f t="shared" si="340"/>
        <v>0.63</v>
      </c>
      <c r="I230" s="561">
        <f t="shared" si="341"/>
        <v>24</v>
      </c>
      <c r="J230" s="456">
        <f t="shared" si="342"/>
        <v>15.25</v>
      </c>
      <c r="K230" s="456">
        <f t="shared" si="343"/>
        <v>39.25</v>
      </c>
      <c r="L230" s="456"/>
      <c r="M230" s="225">
        <f t="shared" si="344"/>
        <v>0.38853503184713378</v>
      </c>
      <c r="N230" s="180">
        <f t="shared" si="345"/>
        <v>6.0844585987261137</v>
      </c>
      <c r="O230" s="180">
        <f t="shared" si="325"/>
        <v>0.63</v>
      </c>
      <c r="P230" s="225">
        <f t="shared" si="346"/>
        <v>0.40563057324840757</v>
      </c>
      <c r="Q230" s="225">
        <f t="shared" si="347"/>
        <v>15</v>
      </c>
      <c r="R230" s="225"/>
      <c r="S230" s="180">
        <f t="shared" si="348"/>
        <v>348.8743287118844</v>
      </c>
      <c r="T230" s="180">
        <f t="shared" si="349"/>
        <v>15</v>
      </c>
      <c r="U230" s="225">
        <f t="shared" si="350"/>
        <v>0.15013661202185791</v>
      </c>
      <c r="V230" s="225">
        <f t="shared" si="351"/>
        <v>0.25022768670309653</v>
      </c>
      <c r="W230" s="225">
        <f t="shared" si="352"/>
        <v>0.39380094956552902</v>
      </c>
      <c r="X230" s="205">
        <f t="shared" si="353"/>
        <v>350</v>
      </c>
      <c r="Y230" s="456">
        <f t="shared" si="354"/>
        <v>350</v>
      </c>
      <c r="AA230" s="225">
        <f t="shared" si="355"/>
        <v>0.66606005459508633</v>
      </c>
      <c r="AB230" s="181">
        <f t="shared" si="356"/>
        <v>1.7470427661510461</v>
      </c>
      <c r="AC230" s="181">
        <f t="shared" si="357"/>
        <v>0.20363619503544039</v>
      </c>
      <c r="AD230" s="181"/>
      <c r="AE230" s="181">
        <f t="shared" si="358"/>
        <v>0.76065573770491812</v>
      </c>
      <c r="AF230" s="565">
        <f t="shared" si="359"/>
        <v>380.79667063020219</v>
      </c>
      <c r="AG230" s="548">
        <f t="shared" si="360"/>
        <v>3.8603278688524589E-2</v>
      </c>
      <c r="AI230" s="181">
        <f t="shared" si="361"/>
        <v>0.30248966924508347</v>
      </c>
      <c r="AJ230" s="181">
        <f t="shared" si="362"/>
        <v>0.30248966924508347</v>
      </c>
      <c r="AK230" s="181">
        <f t="shared" si="363"/>
        <v>1.20925160684821</v>
      </c>
      <c r="AM230" s="565">
        <f t="shared" si="364"/>
        <v>42</v>
      </c>
      <c r="AN230" s="474">
        <f t="shared" si="365"/>
        <v>350</v>
      </c>
      <c r="AP230">
        <f t="shared" si="366"/>
        <v>42</v>
      </c>
      <c r="AQ230">
        <f t="shared" si="367"/>
        <v>350</v>
      </c>
      <c r="AS230" s="6">
        <f t="shared" si="326"/>
        <v>2.8571428571428572</v>
      </c>
      <c r="AT230" s="6">
        <f t="shared" si="368"/>
        <v>0.50414944874180578</v>
      </c>
      <c r="AU230" s="6">
        <f t="shared" si="272"/>
        <v>2.3529934084010513</v>
      </c>
      <c r="AV230" s="6"/>
      <c r="AW230" s="181">
        <f t="shared" si="273"/>
        <v>0.17645230705963202</v>
      </c>
      <c r="AX230" s="181"/>
      <c r="CB230" s="583">
        <f t="shared" si="369"/>
        <v>-50</v>
      </c>
      <c r="CC230">
        <f t="shared" si="370"/>
        <v>-50</v>
      </c>
    </row>
    <row r="231" spans="5:81" x14ac:dyDescent="0.2">
      <c r="E231" s="178">
        <v>15</v>
      </c>
      <c r="F231" s="225">
        <f t="shared" si="371"/>
        <v>4.4999999999999998E-2</v>
      </c>
      <c r="G231" s="225"/>
      <c r="H231" s="225">
        <f t="shared" si="340"/>
        <v>0.67499999999999993</v>
      </c>
      <c r="I231" s="561">
        <f t="shared" si="341"/>
        <v>24</v>
      </c>
      <c r="J231" s="456">
        <f t="shared" si="342"/>
        <v>15.25</v>
      </c>
      <c r="K231" s="456">
        <f t="shared" si="343"/>
        <v>39.25</v>
      </c>
      <c r="L231" s="456"/>
      <c r="M231" s="225">
        <f t="shared" si="344"/>
        <v>0.38853503184713378</v>
      </c>
      <c r="N231" s="180">
        <f t="shared" si="345"/>
        <v>6.0844585987261137</v>
      </c>
      <c r="O231" s="180">
        <f t="shared" si="325"/>
        <v>0.67499999999999993</v>
      </c>
      <c r="P231" s="225">
        <f t="shared" si="346"/>
        <v>0.40563057324840757</v>
      </c>
      <c r="Q231" s="225">
        <f t="shared" si="347"/>
        <v>15</v>
      </c>
      <c r="R231" s="225"/>
      <c r="S231" s="180">
        <f t="shared" si="348"/>
        <v>324.01850318467893</v>
      </c>
      <c r="T231" s="180">
        <f t="shared" si="349"/>
        <v>15</v>
      </c>
      <c r="U231" s="225">
        <f t="shared" si="350"/>
        <v>0.16086065573770489</v>
      </c>
      <c r="V231" s="225">
        <f t="shared" si="351"/>
        <v>0.26810109289617484</v>
      </c>
      <c r="W231" s="225">
        <f t="shared" si="352"/>
        <v>0.42192958882020959</v>
      </c>
      <c r="X231" s="205">
        <f t="shared" si="353"/>
        <v>350</v>
      </c>
      <c r="Y231" s="456">
        <f t="shared" si="354"/>
        <v>350</v>
      </c>
      <c r="AA231" s="225">
        <f t="shared" si="355"/>
        <v>0.66606005459508633</v>
      </c>
      <c r="AB231" s="181">
        <f t="shared" si="356"/>
        <v>1.7470427661510461</v>
      </c>
      <c r="AC231" s="181">
        <f t="shared" si="357"/>
        <v>0.20363619503544039</v>
      </c>
      <c r="AD231" s="181"/>
      <c r="AE231" s="181">
        <f t="shared" si="358"/>
        <v>0.76065573770491812</v>
      </c>
      <c r="AF231" s="565">
        <f t="shared" si="359"/>
        <v>407.99643281807374</v>
      </c>
      <c r="AG231" s="548">
        <f t="shared" si="360"/>
        <v>3.8603278688524589E-2</v>
      </c>
      <c r="AI231" s="181">
        <f t="shared" si="361"/>
        <v>0.31310655420433836</v>
      </c>
      <c r="AJ231" s="181">
        <f t="shared" si="362"/>
        <v>0.31310655420433836</v>
      </c>
      <c r="AK231" s="181">
        <f t="shared" si="363"/>
        <v>1.2171159660772877</v>
      </c>
      <c r="AM231" s="565">
        <f t="shared" si="364"/>
        <v>45</v>
      </c>
      <c r="AN231" s="474">
        <f t="shared" si="365"/>
        <v>350</v>
      </c>
      <c r="AP231">
        <f t="shared" si="366"/>
        <v>45</v>
      </c>
      <c r="AQ231">
        <f t="shared" si="367"/>
        <v>350</v>
      </c>
      <c r="AS231" s="6">
        <f t="shared" si="326"/>
        <v>2.8571428571428572</v>
      </c>
      <c r="AT231" s="6">
        <f t="shared" si="368"/>
        <v>0.52184425700723069</v>
      </c>
      <c r="AU231" s="6">
        <f t="shared" si="272"/>
        <v>2.3352986001356264</v>
      </c>
      <c r="AV231" s="6"/>
      <c r="AW231" s="181">
        <f t="shared" si="273"/>
        <v>0.18264548995253074</v>
      </c>
      <c r="AX231" s="181"/>
      <c r="CB231" s="583">
        <f t="shared" si="369"/>
        <v>-50</v>
      </c>
      <c r="CC231">
        <f t="shared" si="370"/>
        <v>-50</v>
      </c>
    </row>
    <row r="232" spans="5:81" x14ac:dyDescent="0.2">
      <c r="E232" s="178">
        <v>16</v>
      </c>
      <c r="F232" s="225">
        <f t="shared" si="371"/>
        <v>4.8000000000000001E-2</v>
      </c>
      <c r="G232" s="225"/>
      <c r="H232" s="225">
        <f t="shared" si="340"/>
        <v>0.72</v>
      </c>
      <c r="I232" s="561">
        <f t="shared" si="341"/>
        <v>24</v>
      </c>
      <c r="J232" s="456">
        <f t="shared" si="342"/>
        <v>15.25</v>
      </c>
      <c r="K232" s="456">
        <f t="shared" si="343"/>
        <v>39.25</v>
      </c>
      <c r="L232" s="456"/>
      <c r="M232" s="225">
        <f t="shared" si="344"/>
        <v>0.38853503184713378</v>
      </c>
      <c r="N232" s="180">
        <f t="shared" si="345"/>
        <v>6.0844585987261137</v>
      </c>
      <c r="O232" s="180">
        <f t="shared" si="325"/>
        <v>0.72</v>
      </c>
      <c r="P232" s="225">
        <f t="shared" si="346"/>
        <v>0.40563057324840757</v>
      </c>
      <c r="Q232" s="225">
        <f t="shared" si="347"/>
        <v>15</v>
      </c>
      <c r="R232" s="225"/>
      <c r="S232" s="180">
        <f t="shared" si="348"/>
        <v>302.2698334103664</v>
      </c>
      <c r="T232" s="180">
        <f t="shared" si="349"/>
        <v>15</v>
      </c>
      <c r="U232" s="225">
        <f t="shared" si="350"/>
        <v>0.1715846994535519</v>
      </c>
      <c r="V232" s="225">
        <f t="shared" si="351"/>
        <v>0.28597449908925321</v>
      </c>
      <c r="W232" s="225">
        <f t="shared" si="352"/>
        <v>0.45005822807489027</v>
      </c>
      <c r="X232" s="205">
        <f t="shared" si="353"/>
        <v>350</v>
      </c>
      <c r="Y232" s="456">
        <f t="shared" si="354"/>
        <v>350</v>
      </c>
      <c r="AA232" s="225">
        <f t="shared" si="355"/>
        <v>0.66606005459508633</v>
      </c>
      <c r="AB232" s="181">
        <f t="shared" si="356"/>
        <v>1.7470427661510461</v>
      </c>
      <c r="AC232" s="181">
        <f t="shared" si="357"/>
        <v>0.20363619503544039</v>
      </c>
      <c r="AD232" s="181"/>
      <c r="AE232" s="181">
        <f t="shared" si="358"/>
        <v>0.76065573770491812</v>
      </c>
      <c r="AF232" s="565">
        <f t="shared" si="359"/>
        <v>435.1961950059453</v>
      </c>
      <c r="AG232" s="548">
        <f t="shared" si="360"/>
        <v>3.8603278688524589E-2</v>
      </c>
      <c r="AI232" s="181">
        <f t="shared" si="361"/>
        <v>0.32337505867247796</v>
      </c>
      <c r="AJ232" s="181">
        <f t="shared" si="362"/>
        <v>0.32337505867247796</v>
      </c>
      <c r="AK232" s="181">
        <f t="shared" si="363"/>
        <v>1.224722265683317</v>
      </c>
      <c r="AM232" s="565">
        <f t="shared" si="364"/>
        <v>48</v>
      </c>
      <c r="AN232" s="474">
        <f t="shared" si="365"/>
        <v>350</v>
      </c>
      <c r="AP232">
        <f t="shared" si="366"/>
        <v>48</v>
      </c>
      <c r="AQ232">
        <f t="shared" si="367"/>
        <v>350</v>
      </c>
      <c r="AS232" s="6">
        <f t="shared" si="326"/>
        <v>2.8571428571428572</v>
      </c>
      <c r="AT232" s="6">
        <f t="shared" si="368"/>
        <v>0.53895843112079667</v>
      </c>
      <c r="AU232" s="6">
        <f t="shared" si="272"/>
        <v>2.3181844260220608</v>
      </c>
      <c r="AV232" s="6"/>
      <c r="AW232" s="181">
        <f t="shared" si="273"/>
        <v>0.18863545089227882</v>
      </c>
      <c r="AX232" s="181"/>
      <c r="CB232" s="583">
        <f t="shared" si="369"/>
        <v>-50</v>
      </c>
      <c r="CC232">
        <f t="shared" si="370"/>
        <v>-50</v>
      </c>
    </row>
    <row r="233" spans="5:81" x14ac:dyDescent="0.2">
      <c r="E233" s="178">
        <v>17</v>
      </c>
      <c r="F233" s="225">
        <f t="shared" si="371"/>
        <v>5.1000000000000004E-2</v>
      </c>
      <c r="G233" s="225"/>
      <c r="H233" s="225">
        <f t="shared" si="340"/>
        <v>0.76500000000000001</v>
      </c>
      <c r="I233" s="561">
        <f t="shared" si="341"/>
        <v>24</v>
      </c>
      <c r="J233" s="456">
        <f t="shared" si="342"/>
        <v>15.25</v>
      </c>
      <c r="K233" s="456">
        <f t="shared" si="343"/>
        <v>39.25</v>
      </c>
      <c r="L233" s="456"/>
      <c r="M233" s="225">
        <f t="shared" si="344"/>
        <v>0.38853503184713378</v>
      </c>
      <c r="N233" s="180">
        <f t="shared" si="345"/>
        <v>6.0844585987261137</v>
      </c>
      <c r="O233" s="180">
        <f t="shared" si="325"/>
        <v>0.76500000000000001</v>
      </c>
      <c r="P233" s="225">
        <f t="shared" si="346"/>
        <v>0.40563057324840757</v>
      </c>
      <c r="Q233" s="225">
        <f t="shared" si="347"/>
        <v>15</v>
      </c>
      <c r="R233" s="225"/>
      <c r="S233" s="180">
        <f t="shared" si="348"/>
        <v>283.08000024911922</v>
      </c>
      <c r="T233" s="180">
        <f t="shared" si="349"/>
        <v>15</v>
      </c>
      <c r="U233" s="225">
        <f t="shared" si="350"/>
        <v>0.18230874316939888</v>
      </c>
      <c r="V233" s="225">
        <f t="shared" si="351"/>
        <v>0.30384790528233147</v>
      </c>
      <c r="W233" s="225">
        <f t="shared" si="352"/>
        <v>0.47818686732957083</v>
      </c>
      <c r="X233" s="205">
        <f t="shared" si="353"/>
        <v>350</v>
      </c>
      <c r="Y233" s="456">
        <f t="shared" si="354"/>
        <v>350</v>
      </c>
      <c r="AA233" s="225">
        <f t="shared" si="355"/>
        <v>0.66606005459508633</v>
      </c>
      <c r="AB233" s="181">
        <f t="shared" si="356"/>
        <v>1.7470427661510461</v>
      </c>
      <c r="AC233" s="181">
        <f t="shared" si="357"/>
        <v>0.20363619503544039</v>
      </c>
      <c r="AD233" s="181"/>
      <c r="AE233" s="181">
        <f t="shared" si="358"/>
        <v>0.76065573770491812</v>
      </c>
      <c r="AF233" s="565">
        <f t="shared" si="359"/>
        <v>462.39595719381691</v>
      </c>
      <c r="AG233" s="548">
        <f t="shared" si="360"/>
        <v>3.8603278688524589E-2</v>
      </c>
      <c r="AI233" s="181">
        <f t="shared" si="361"/>
        <v>0.33332738089923375</v>
      </c>
      <c r="AJ233" s="181">
        <f t="shared" si="362"/>
        <v>0.33332738089923375</v>
      </c>
      <c r="AK233" s="181">
        <f t="shared" si="363"/>
        <v>1.2320943562216546</v>
      </c>
      <c r="AM233" s="565">
        <f t="shared" si="364"/>
        <v>51.000000000000007</v>
      </c>
      <c r="AN233" s="474">
        <f t="shared" si="365"/>
        <v>350</v>
      </c>
      <c r="AP233">
        <f t="shared" si="366"/>
        <v>51.000000000000007</v>
      </c>
      <c r="AQ233">
        <f t="shared" si="367"/>
        <v>350</v>
      </c>
      <c r="AS233" s="6">
        <f t="shared" si="326"/>
        <v>2.8571428571428572</v>
      </c>
      <c r="AT233" s="6">
        <f t="shared" si="368"/>
        <v>0.55554563483205632</v>
      </c>
      <c r="AU233" s="6">
        <f t="shared" si="272"/>
        <v>2.301597222310801</v>
      </c>
      <c r="AV233" s="6"/>
      <c r="AW233" s="181">
        <f t="shared" si="273"/>
        <v>0.1944409721912197</v>
      </c>
      <c r="AX233" s="181"/>
      <c r="CB233" s="583">
        <f t="shared" si="369"/>
        <v>-50</v>
      </c>
      <c r="CC233">
        <f t="shared" si="370"/>
        <v>-50</v>
      </c>
    </row>
    <row r="234" spans="5:81" x14ac:dyDescent="0.2">
      <c r="E234" s="178">
        <v>18</v>
      </c>
      <c r="F234" s="225">
        <f t="shared" si="371"/>
        <v>5.3999999999999999E-2</v>
      </c>
      <c r="G234" s="225"/>
      <c r="H234" s="225">
        <f t="shared" si="340"/>
        <v>0.80999999999999994</v>
      </c>
      <c r="I234" s="561">
        <f t="shared" si="341"/>
        <v>24</v>
      </c>
      <c r="J234" s="456">
        <f t="shared" si="342"/>
        <v>15.25</v>
      </c>
      <c r="K234" s="456">
        <f t="shared" si="343"/>
        <v>39.25</v>
      </c>
      <c r="L234" s="456"/>
      <c r="M234" s="225">
        <f t="shared" si="344"/>
        <v>0.38853503184713378</v>
      </c>
      <c r="N234" s="180">
        <f t="shared" si="345"/>
        <v>6.0844585987261137</v>
      </c>
      <c r="O234" s="180">
        <f t="shared" si="325"/>
        <v>0.80999999999999994</v>
      </c>
      <c r="P234" s="225">
        <f t="shared" si="346"/>
        <v>0.40563057324840757</v>
      </c>
      <c r="Q234" s="225">
        <f t="shared" si="347"/>
        <v>15</v>
      </c>
      <c r="R234" s="225"/>
      <c r="S234" s="180">
        <f t="shared" si="348"/>
        <v>266.0225333042261</v>
      </c>
      <c r="T234" s="180">
        <f t="shared" si="349"/>
        <v>15</v>
      </c>
      <c r="U234" s="225">
        <f t="shared" si="350"/>
        <v>0.19303278688524586</v>
      </c>
      <c r="V234" s="225">
        <f t="shared" si="351"/>
        <v>0.32172131147540983</v>
      </c>
      <c r="W234" s="225">
        <f t="shared" si="352"/>
        <v>0.50631550658425151</v>
      </c>
      <c r="X234" s="205">
        <f t="shared" si="353"/>
        <v>350</v>
      </c>
      <c r="Y234" s="456">
        <f t="shared" si="354"/>
        <v>350</v>
      </c>
      <c r="AA234" s="225">
        <f t="shared" si="355"/>
        <v>0.66606005459508633</v>
      </c>
      <c r="AB234" s="181">
        <f t="shared" si="356"/>
        <v>1.7470427661510461</v>
      </c>
      <c r="AC234" s="181">
        <f t="shared" si="357"/>
        <v>0.20363619503544039</v>
      </c>
      <c r="AD234" s="181"/>
      <c r="AE234" s="181">
        <f t="shared" si="358"/>
        <v>0.76065573770491812</v>
      </c>
      <c r="AF234" s="565">
        <f t="shared" si="359"/>
        <v>489.59571938168847</v>
      </c>
      <c r="AG234" s="548">
        <f t="shared" si="360"/>
        <v>3.8603278688524589E-2</v>
      </c>
      <c r="AI234" s="181">
        <f t="shared" si="361"/>
        <v>0.34299104528086027</v>
      </c>
      <c r="AJ234" s="181">
        <f t="shared" si="362"/>
        <v>0.34299104528086027</v>
      </c>
      <c r="AK234" s="181">
        <f t="shared" si="363"/>
        <v>1.2392526261339705</v>
      </c>
      <c r="AM234" s="565">
        <f t="shared" si="364"/>
        <v>54</v>
      </c>
      <c r="AN234" s="474">
        <f t="shared" si="365"/>
        <v>350</v>
      </c>
      <c r="AP234">
        <f t="shared" si="366"/>
        <v>54</v>
      </c>
      <c r="AQ234">
        <f t="shared" si="367"/>
        <v>350</v>
      </c>
      <c r="AS234" s="6">
        <f t="shared" si="326"/>
        <v>2.8571428571428572</v>
      </c>
      <c r="AT234" s="6">
        <f t="shared" si="368"/>
        <v>0.5716517421347671</v>
      </c>
      <c r="AU234" s="6">
        <f t="shared" ref="AU234:AU297" si="372">AS234-AT234</f>
        <v>2.2854911150080901</v>
      </c>
      <c r="AV234" s="6"/>
      <c r="AW234" s="181">
        <f t="shared" ref="AW234:AW297" si="373">AT234/AS234</f>
        <v>0.20007810974716847</v>
      </c>
      <c r="AX234" s="181"/>
      <c r="CB234" s="583">
        <f t="shared" si="369"/>
        <v>-50</v>
      </c>
      <c r="CC234">
        <f t="shared" si="370"/>
        <v>-50</v>
      </c>
    </row>
    <row r="235" spans="5:81" x14ac:dyDescent="0.2">
      <c r="E235" s="178">
        <v>19</v>
      </c>
      <c r="F235" s="225">
        <f t="shared" si="371"/>
        <v>5.6999999999999995E-2</v>
      </c>
      <c r="G235" s="225"/>
      <c r="H235" s="225">
        <f t="shared" si="340"/>
        <v>0.85499999999999998</v>
      </c>
      <c r="I235" s="561">
        <f t="shared" si="341"/>
        <v>24</v>
      </c>
      <c r="J235" s="456">
        <f t="shared" si="342"/>
        <v>15.25</v>
      </c>
      <c r="K235" s="456">
        <f t="shared" si="343"/>
        <v>39.25</v>
      </c>
      <c r="L235" s="456"/>
      <c r="M235" s="225">
        <f t="shared" si="344"/>
        <v>0.38853503184713378</v>
      </c>
      <c r="N235" s="180">
        <f t="shared" si="345"/>
        <v>6.0844585987261137</v>
      </c>
      <c r="O235" s="180">
        <f t="shared" si="325"/>
        <v>0.85499999999999998</v>
      </c>
      <c r="P235" s="225">
        <f t="shared" si="346"/>
        <v>0.40563057324840757</v>
      </c>
      <c r="Q235" s="225">
        <f t="shared" si="347"/>
        <v>15</v>
      </c>
      <c r="R235" s="225"/>
      <c r="S235" s="180">
        <f t="shared" si="348"/>
        <v>250.76074546441578</v>
      </c>
      <c r="T235" s="180">
        <f t="shared" si="349"/>
        <v>15</v>
      </c>
      <c r="U235" s="225">
        <f t="shared" si="350"/>
        <v>0.20375683060109287</v>
      </c>
      <c r="V235" s="225">
        <f t="shared" si="351"/>
        <v>0.3395947176684882</v>
      </c>
      <c r="W235" s="225">
        <f t="shared" si="352"/>
        <v>0.53444414583893218</v>
      </c>
      <c r="X235" s="205">
        <f t="shared" si="353"/>
        <v>350</v>
      </c>
      <c r="Y235" s="456">
        <f t="shared" si="354"/>
        <v>350</v>
      </c>
      <c r="AA235" s="225">
        <f t="shared" si="355"/>
        <v>0.66606005459508633</v>
      </c>
      <c r="AB235" s="181">
        <f t="shared" si="356"/>
        <v>1.7470427661510461</v>
      </c>
      <c r="AC235" s="181">
        <f t="shared" si="357"/>
        <v>0.20363619503544039</v>
      </c>
      <c r="AD235" s="181"/>
      <c r="AE235" s="181">
        <f t="shared" si="358"/>
        <v>0.76065573770491812</v>
      </c>
      <c r="AF235" s="565">
        <f t="shared" si="359"/>
        <v>516.79548156956002</v>
      </c>
      <c r="AG235" s="548">
        <f t="shared" si="360"/>
        <v>3.8603278688524589E-2</v>
      </c>
      <c r="AI235" s="181">
        <f t="shared" si="361"/>
        <v>0.35238980040371687</v>
      </c>
      <c r="AJ235" s="181">
        <f t="shared" si="362"/>
        <v>0.35238980040371687</v>
      </c>
      <c r="AK235" s="181">
        <f t="shared" si="363"/>
        <v>1.2462146669657161</v>
      </c>
      <c r="AM235" s="565">
        <f t="shared" si="364"/>
        <v>56.999999999999993</v>
      </c>
      <c r="AN235" s="474">
        <f t="shared" si="365"/>
        <v>350</v>
      </c>
      <c r="AP235">
        <f t="shared" si="366"/>
        <v>56.999999999999993</v>
      </c>
      <c r="AQ235">
        <f t="shared" si="367"/>
        <v>350</v>
      </c>
      <c r="AS235" s="6">
        <f t="shared" si="326"/>
        <v>2.8571428571428572</v>
      </c>
      <c r="AT235" s="6">
        <f t="shared" si="368"/>
        <v>0.58731633400619476</v>
      </c>
      <c r="AU235" s="6">
        <f t="shared" si="372"/>
        <v>2.2698265231366626</v>
      </c>
      <c r="AV235" s="6"/>
      <c r="AW235" s="181">
        <f t="shared" si="373"/>
        <v>0.20556071690216815</v>
      </c>
      <c r="AX235" s="181"/>
      <c r="CB235" s="583">
        <f t="shared" si="369"/>
        <v>-50</v>
      </c>
      <c r="CC235">
        <f t="shared" si="370"/>
        <v>-50</v>
      </c>
    </row>
    <row r="236" spans="5:81" x14ac:dyDescent="0.2">
      <c r="E236" s="178">
        <v>20</v>
      </c>
      <c r="F236" s="225">
        <f t="shared" si="371"/>
        <v>0.06</v>
      </c>
      <c r="G236" s="225"/>
      <c r="H236" s="225">
        <f t="shared" si="340"/>
        <v>0.89999999999999991</v>
      </c>
      <c r="I236" s="561">
        <f t="shared" si="341"/>
        <v>24</v>
      </c>
      <c r="J236" s="456">
        <f t="shared" si="342"/>
        <v>15.25</v>
      </c>
      <c r="K236" s="456">
        <f t="shared" si="343"/>
        <v>39.25</v>
      </c>
      <c r="L236" s="456"/>
      <c r="M236" s="225">
        <f t="shared" si="344"/>
        <v>0.38853503184713378</v>
      </c>
      <c r="N236" s="180">
        <f t="shared" si="345"/>
        <v>6.0844585987261137</v>
      </c>
      <c r="O236" s="180">
        <f t="shared" si="325"/>
        <v>0.89999999999999991</v>
      </c>
      <c r="P236" s="225">
        <f t="shared" si="346"/>
        <v>0.40563057324840757</v>
      </c>
      <c r="Q236" s="225">
        <f t="shared" si="347"/>
        <v>15</v>
      </c>
      <c r="R236" s="225"/>
      <c r="S236" s="180">
        <f t="shared" si="348"/>
        <v>237.02528708351278</v>
      </c>
      <c r="T236" s="180">
        <f t="shared" si="349"/>
        <v>15</v>
      </c>
      <c r="U236" s="225">
        <f t="shared" si="350"/>
        <v>0.21448087431693985</v>
      </c>
      <c r="V236" s="225">
        <f t="shared" si="351"/>
        <v>0.35746812386156646</v>
      </c>
      <c r="W236" s="225">
        <f t="shared" si="352"/>
        <v>0.56257278509361275</v>
      </c>
      <c r="X236" s="205">
        <f t="shared" si="353"/>
        <v>350</v>
      </c>
      <c r="Y236" s="456">
        <f t="shared" si="354"/>
        <v>350</v>
      </c>
      <c r="AA236" s="225">
        <f t="shared" si="355"/>
        <v>0.66606005459508633</v>
      </c>
      <c r="AB236" s="181">
        <f t="shared" si="356"/>
        <v>1.7470427661510461</v>
      </c>
      <c r="AC236" s="181">
        <f t="shared" si="357"/>
        <v>0.20363619503544039</v>
      </c>
      <c r="AD236" s="181"/>
      <c r="AE236" s="181">
        <f t="shared" si="358"/>
        <v>0.76065573770491812</v>
      </c>
      <c r="AF236" s="565">
        <f t="shared" si="359"/>
        <v>543.99524375743158</v>
      </c>
      <c r="AG236" s="548">
        <f t="shared" si="360"/>
        <v>3.8603278688524589E-2</v>
      </c>
      <c r="AI236" s="181">
        <f t="shared" si="361"/>
        <v>0.36154430670982179</v>
      </c>
      <c r="AJ236" s="181">
        <f t="shared" si="362"/>
        <v>0.36154430670982179</v>
      </c>
      <c r="AK236" s="181">
        <f t="shared" si="363"/>
        <v>1.252995782748016</v>
      </c>
      <c r="AM236" s="565">
        <f t="shared" si="364"/>
        <v>60</v>
      </c>
      <c r="AN236" s="474">
        <f t="shared" si="365"/>
        <v>350</v>
      </c>
      <c r="AP236">
        <f t="shared" si="366"/>
        <v>60</v>
      </c>
      <c r="AQ236">
        <f t="shared" si="367"/>
        <v>350</v>
      </c>
      <c r="AS236" s="6">
        <f t="shared" si="326"/>
        <v>2.8571428571428572</v>
      </c>
      <c r="AT236" s="6">
        <f t="shared" si="368"/>
        <v>0.60257384451636975</v>
      </c>
      <c r="AU236" s="6">
        <f t="shared" si="372"/>
        <v>2.2545690126264875</v>
      </c>
      <c r="AV236" s="6"/>
      <c r="AW236" s="181">
        <f t="shared" si="373"/>
        <v>0.21090084558072941</v>
      </c>
      <c r="AX236" s="181"/>
      <c r="CB236" s="583">
        <f t="shared" si="369"/>
        <v>-50</v>
      </c>
      <c r="CC236">
        <f t="shared" si="370"/>
        <v>-50</v>
      </c>
    </row>
    <row r="237" spans="5:81" x14ac:dyDescent="0.2">
      <c r="E237" s="178">
        <v>21</v>
      </c>
      <c r="F237" s="225">
        <f t="shared" si="371"/>
        <v>6.3E-2</v>
      </c>
      <c r="G237" s="225"/>
      <c r="H237" s="225">
        <f t="shared" si="340"/>
        <v>0.94500000000000006</v>
      </c>
      <c r="I237" s="561">
        <f t="shared" si="341"/>
        <v>24</v>
      </c>
      <c r="J237" s="456">
        <f t="shared" si="342"/>
        <v>15.25</v>
      </c>
      <c r="K237" s="456">
        <f t="shared" si="343"/>
        <v>39.25</v>
      </c>
      <c r="L237" s="456"/>
      <c r="M237" s="225">
        <f t="shared" si="344"/>
        <v>0.38853503184713378</v>
      </c>
      <c r="N237" s="180">
        <f t="shared" si="345"/>
        <v>6.0844585987261137</v>
      </c>
      <c r="O237" s="180">
        <f t="shared" si="325"/>
        <v>0.94500000000000006</v>
      </c>
      <c r="P237" s="225">
        <f t="shared" si="346"/>
        <v>0.40563057324840757</v>
      </c>
      <c r="Q237" s="225">
        <f t="shared" si="347"/>
        <v>15</v>
      </c>
      <c r="R237" s="225"/>
      <c r="S237" s="180">
        <f t="shared" si="348"/>
        <v>224.59811325164773</v>
      </c>
      <c r="T237" s="180">
        <f t="shared" si="349"/>
        <v>15</v>
      </c>
      <c r="U237" s="225">
        <f t="shared" si="350"/>
        <v>0.22520491803278689</v>
      </c>
      <c r="V237" s="225">
        <f t="shared" si="351"/>
        <v>0.37534153005464482</v>
      </c>
      <c r="W237" s="225">
        <f t="shared" si="352"/>
        <v>0.59070142434829354</v>
      </c>
      <c r="X237" s="205">
        <f t="shared" si="353"/>
        <v>350</v>
      </c>
      <c r="Y237" s="456">
        <f t="shared" si="354"/>
        <v>350</v>
      </c>
      <c r="AA237" s="225">
        <f t="shared" si="355"/>
        <v>0.66606005459508633</v>
      </c>
      <c r="AB237" s="181">
        <f t="shared" si="356"/>
        <v>1.7470427661510461</v>
      </c>
      <c r="AC237" s="181">
        <f t="shared" si="357"/>
        <v>0.20363619503544039</v>
      </c>
      <c r="AD237" s="181"/>
      <c r="AE237" s="181">
        <f t="shared" si="358"/>
        <v>0.76065573770491812</v>
      </c>
      <c r="AF237" s="565">
        <f t="shared" si="359"/>
        <v>571.19500594530325</v>
      </c>
      <c r="AG237" s="548">
        <f t="shared" si="360"/>
        <v>3.8603278688524589E-2</v>
      </c>
      <c r="AI237" s="181">
        <f t="shared" si="361"/>
        <v>0.37047267105685411</v>
      </c>
      <c r="AJ237" s="181">
        <f t="shared" si="362"/>
        <v>0.37047267105685411</v>
      </c>
      <c r="AK237" s="181">
        <f t="shared" si="363"/>
        <v>1.25960938596804</v>
      </c>
      <c r="AM237" s="565">
        <f t="shared" si="364"/>
        <v>63</v>
      </c>
      <c r="AN237" s="474">
        <f t="shared" si="365"/>
        <v>350</v>
      </c>
      <c r="AP237">
        <f t="shared" si="366"/>
        <v>63</v>
      </c>
      <c r="AQ237">
        <f t="shared" si="367"/>
        <v>350</v>
      </c>
      <c r="AS237" s="6">
        <f t="shared" si="326"/>
        <v>2.8571428571428572</v>
      </c>
      <c r="AT237" s="6">
        <f t="shared" si="368"/>
        <v>0.61745445176142355</v>
      </c>
      <c r="AU237" s="6">
        <f t="shared" si="372"/>
        <v>2.2396884053814334</v>
      </c>
      <c r="AV237" s="6"/>
      <c r="AW237" s="181">
        <f t="shared" si="373"/>
        <v>0.21610905811649825</v>
      </c>
      <c r="AX237" s="181"/>
      <c r="CB237" s="583">
        <f t="shared" si="369"/>
        <v>-50</v>
      </c>
      <c r="CC237">
        <f t="shared" si="370"/>
        <v>-50</v>
      </c>
    </row>
    <row r="238" spans="5:81" x14ac:dyDescent="0.2">
      <c r="E238" s="178">
        <v>22</v>
      </c>
      <c r="F238" s="225">
        <f t="shared" si="371"/>
        <v>6.6000000000000003E-2</v>
      </c>
      <c r="G238" s="225"/>
      <c r="H238" s="225">
        <f t="shared" si="340"/>
        <v>0.99</v>
      </c>
      <c r="I238" s="561">
        <f t="shared" si="341"/>
        <v>24</v>
      </c>
      <c r="J238" s="456">
        <f t="shared" si="342"/>
        <v>15.25</v>
      </c>
      <c r="K238" s="456">
        <f t="shared" si="343"/>
        <v>39.25</v>
      </c>
      <c r="L238" s="456"/>
      <c r="M238" s="225">
        <f t="shared" si="344"/>
        <v>0.38853503184713378</v>
      </c>
      <c r="N238" s="180">
        <f t="shared" si="345"/>
        <v>6.0844585987261137</v>
      </c>
      <c r="O238" s="180">
        <f t="shared" si="325"/>
        <v>0.99</v>
      </c>
      <c r="P238" s="225">
        <f t="shared" si="346"/>
        <v>0.40563057324840757</v>
      </c>
      <c r="Q238" s="225">
        <f t="shared" si="347"/>
        <v>15</v>
      </c>
      <c r="R238" s="225"/>
      <c r="S238" s="180">
        <f t="shared" si="348"/>
        <v>213.30082362889226</v>
      </c>
      <c r="T238" s="180">
        <f t="shared" si="349"/>
        <v>15</v>
      </c>
      <c r="U238" s="225">
        <f t="shared" si="350"/>
        <v>0.23592896174863384</v>
      </c>
      <c r="V238" s="225">
        <f t="shared" si="351"/>
        <v>0.39321493624772313</v>
      </c>
      <c r="W238" s="225">
        <f t="shared" si="352"/>
        <v>0.6188300636029741</v>
      </c>
      <c r="X238" s="205">
        <f t="shared" si="353"/>
        <v>350</v>
      </c>
      <c r="Y238" s="456">
        <f t="shared" si="354"/>
        <v>350</v>
      </c>
      <c r="AA238" s="225">
        <f t="shared" si="355"/>
        <v>0.66606005459508633</v>
      </c>
      <c r="AB238" s="181">
        <f t="shared" si="356"/>
        <v>1.7470427661510461</v>
      </c>
      <c r="AC238" s="181">
        <f t="shared" si="357"/>
        <v>0.20363619503544039</v>
      </c>
      <c r="AD238" s="181"/>
      <c r="AE238" s="181">
        <f t="shared" si="358"/>
        <v>0.76065573770491812</v>
      </c>
      <c r="AF238" s="565">
        <f t="shared" si="359"/>
        <v>598.39476813317481</v>
      </c>
      <c r="AG238" s="548">
        <f t="shared" si="360"/>
        <v>3.8603278688524589E-2</v>
      </c>
      <c r="AI238" s="181">
        <f t="shared" si="361"/>
        <v>0.37919086788280421</v>
      </c>
      <c r="AJ238" s="181">
        <f t="shared" si="362"/>
        <v>0.37919086788280421</v>
      </c>
      <c r="AK238" s="181">
        <f t="shared" si="363"/>
        <v>1.2660673095428179</v>
      </c>
      <c r="AM238" s="565">
        <f t="shared" si="364"/>
        <v>66</v>
      </c>
      <c r="AN238" s="474">
        <f t="shared" si="365"/>
        <v>350</v>
      </c>
      <c r="AP238">
        <f t="shared" si="366"/>
        <v>66</v>
      </c>
      <c r="AQ238">
        <f t="shared" si="367"/>
        <v>350</v>
      </c>
      <c r="AS238" s="6">
        <f t="shared" si="326"/>
        <v>2.8571428571428572</v>
      </c>
      <c r="AT238" s="6">
        <f t="shared" si="368"/>
        <v>0.63198477980467382</v>
      </c>
      <c r="AU238" s="6">
        <f t="shared" si="372"/>
        <v>2.2251580773381834</v>
      </c>
      <c r="AV238" s="6"/>
      <c r="AW238" s="181">
        <f t="shared" si="373"/>
        <v>0.22119467293163583</v>
      </c>
      <c r="AX238" s="181"/>
      <c r="CB238" s="583">
        <f t="shared" si="369"/>
        <v>-50</v>
      </c>
      <c r="CC238">
        <f t="shared" si="370"/>
        <v>-50</v>
      </c>
    </row>
    <row r="239" spans="5:81" x14ac:dyDescent="0.2">
      <c r="E239" s="178">
        <v>23</v>
      </c>
      <c r="F239" s="225">
        <f t="shared" si="371"/>
        <v>6.9000000000000006E-2</v>
      </c>
      <c r="G239" s="225"/>
      <c r="H239" s="225">
        <f t="shared" si="340"/>
        <v>1.0350000000000001</v>
      </c>
      <c r="I239" s="561">
        <f t="shared" si="341"/>
        <v>24</v>
      </c>
      <c r="J239" s="456">
        <f t="shared" si="342"/>
        <v>15.25</v>
      </c>
      <c r="K239" s="456">
        <f t="shared" si="343"/>
        <v>39.25</v>
      </c>
      <c r="L239" s="456"/>
      <c r="M239" s="225">
        <f t="shared" si="344"/>
        <v>0.38853503184713378</v>
      </c>
      <c r="N239" s="180">
        <f t="shared" si="345"/>
        <v>6.0844585987261137</v>
      </c>
      <c r="O239" s="180">
        <f t="shared" si="325"/>
        <v>1.0350000000000001</v>
      </c>
      <c r="P239" s="225">
        <f t="shared" si="346"/>
        <v>0.40563057324840757</v>
      </c>
      <c r="Q239" s="225">
        <f t="shared" si="347"/>
        <v>15</v>
      </c>
      <c r="R239" s="225"/>
      <c r="S239" s="180">
        <f t="shared" si="348"/>
        <v>202.98604406145125</v>
      </c>
      <c r="T239" s="180">
        <f t="shared" si="349"/>
        <v>15</v>
      </c>
      <c r="U239" s="225">
        <f t="shared" si="350"/>
        <v>0.24665300546448088</v>
      </c>
      <c r="V239" s="225">
        <f t="shared" si="351"/>
        <v>0.4110883424408015</v>
      </c>
      <c r="W239" s="225">
        <f t="shared" si="352"/>
        <v>0.64695870285765478</v>
      </c>
      <c r="X239" s="205">
        <f t="shared" si="353"/>
        <v>350</v>
      </c>
      <c r="Y239" s="456">
        <f t="shared" si="354"/>
        <v>350</v>
      </c>
      <c r="AA239" s="225">
        <f t="shared" si="355"/>
        <v>0.66606005459508633</v>
      </c>
      <c r="AB239" s="181">
        <f t="shared" si="356"/>
        <v>1.7470427661510461</v>
      </c>
      <c r="AC239" s="181">
        <f t="shared" si="357"/>
        <v>0.20363619503544039</v>
      </c>
      <c r="AD239" s="181"/>
      <c r="AE239" s="181">
        <f t="shared" si="358"/>
        <v>0.76065573770491812</v>
      </c>
      <c r="AF239" s="565">
        <f t="shared" si="359"/>
        <v>625.59453032104636</v>
      </c>
      <c r="AG239" s="548">
        <f t="shared" si="360"/>
        <v>3.8603278688524589E-2</v>
      </c>
      <c r="AI239" s="181">
        <f t="shared" si="361"/>
        <v>0.38771307505864255</v>
      </c>
      <c r="AJ239" s="181">
        <f t="shared" si="362"/>
        <v>0.38771307505864255</v>
      </c>
      <c r="AK239" s="181">
        <f t="shared" si="363"/>
        <v>1.2723800555989944</v>
      </c>
      <c r="AM239" s="565">
        <f t="shared" si="364"/>
        <v>69</v>
      </c>
      <c r="AN239" s="474">
        <f t="shared" si="365"/>
        <v>350</v>
      </c>
      <c r="AP239">
        <f t="shared" si="366"/>
        <v>69</v>
      </c>
      <c r="AQ239">
        <f t="shared" si="367"/>
        <v>350</v>
      </c>
      <c r="AS239" s="6">
        <f t="shared" si="326"/>
        <v>2.8571428571428572</v>
      </c>
      <c r="AT239" s="6">
        <f t="shared" si="368"/>
        <v>0.64618845843107098</v>
      </c>
      <c r="AU239" s="6">
        <f t="shared" si="372"/>
        <v>2.2109543987117863</v>
      </c>
      <c r="AV239" s="6"/>
      <c r="AW239" s="181">
        <f t="shared" si="373"/>
        <v>0.22616596045087484</v>
      </c>
      <c r="AX239" s="181"/>
      <c r="CB239" s="583">
        <f t="shared" si="369"/>
        <v>-50</v>
      </c>
      <c r="CC239">
        <f t="shared" si="370"/>
        <v>-50</v>
      </c>
    </row>
    <row r="240" spans="5:81" x14ac:dyDescent="0.2">
      <c r="E240" s="178">
        <v>24</v>
      </c>
      <c r="F240" s="225">
        <f t="shared" si="371"/>
        <v>7.1999999999999995E-2</v>
      </c>
      <c r="G240" s="225"/>
      <c r="H240" s="225">
        <f t="shared" si="340"/>
        <v>1.0799999999999998</v>
      </c>
      <c r="I240" s="561">
        <f t="shared" si="341"/>
        <v>24</v>
      </c>
      <c r="J240" s="456">
        <f t="shared" si="342"/>
        <v>15.25</v>
      </c>
      <c r="K240" s="456">
        <f t="shared" si="343"/>
        <v>39.25</v>
      </c>
      <c r="L240" s="456"/>
      <c r="M240" s="225">
        <f t="shared" si="344"/>
        <v>0.38853503184713378</v>
      </c>
      <c r="N240" s="180">
        <f t="shared" si="345"/>
        <v>6.0844585987261137</v>
      </c>
      <c r="O240" s="180">
        <f t="shared" si="325"/>
        <v>1.0799999999999998</v>
      </c>
      <c r="P240" s="225">
        <f t="shared" si="346"/>
        <v>0.40563057324840757</v>
      </c>
      <c r="Q240" s="225">
        <f t="shared" si="347"/>
        <v>15</v>
      </c>
      <c r="R240" s="225"/>
      <c r="S240" s="180">
        <f t="shared" si="348"/>
        <v>193.53096279383433</v>
      </c>
      <c r="T240" s="180">
        <f t="shared" si="349"/>
        <v>15</v>
      </c>
      <c r="U240" s="225">
        <f t="shared" si="350"/>
        <v>0.25737704918032783</v>
      </c>
      <c r="V240" s="225">
        <f t="shared" si="351"/>
        <v>0.42896174863387981</v>
      </c>
      <c r="W240" s="225">
        <f t="shared" si="352"/>
        <v>0.67508734211233534</v>
      </c>
      <c r="X240" s="205">
        <f t="shared" si="353"/>
        <v>350</v>
      </c>
      <c r="Y240" s="456">
        <f t="shared" si="354"/>
        <v>350</v>
      </c>
      <c r="AA240" s="225">
        <f t="shared" si="355"/>
        <v>0.66606005459508633</v>
      </c>
      <c r="AB240" s="181">
        <f t="shared" si="356"/>
        <v>1.7470427661510461</v>
      </c>
      <c r="AC240" s="181">
        <f t="shared" si="357"/>
        <v>0.20363619503544039</v>
      </c>
      <c r="AD240" s="181"/>
      <c r="AE240" s="181">
        <f t="shared" si="358"/>
        <v>0.76065573770491812</v>
      </c>
      <c r="AF240" s="565">
        <f t="shared" si="359"/>
        <v>652.79429250891781</v>
      </c>
      <c r="AG240" s="548">
        <f t="shared" si="360"/>
        <v>3.8603278688524589E-2</v>
      </c>
      <c r="AI240" s="181">
        <f t="shared" si="361"/>
        <v>0.39605194464507154</v>
      </c>
      <c r="AJ240" s="181">
        <f t="shared" si="362"/>
        <v>0.39605194464507154</v>
      </c>
      <c r="AK240" s="181">
        <f t="shared" si="363"/>
        <v>1.2785569960333862</v>
      </c>
      <c r="AM240" s="565">
        <f t="shared" si="364"/>
        <v>72</v>
      </c>
      <c r="AN240" s="474">
        <f t="shared" si="365"/>
        <v>350</v>
      </c>
      <c r="AP240">
        <f t="shared" si="366"/>
        <v>72</v>
      </c>
      <c r="AQ240">
        <f t="shared" si="367"/>
        <v>350</v>
      </c>
      <c r="AS240" s="6">
        <f t="shared" si="326"/>
        <v>2.8571428571428572</v>
      </c>
      <c r="AT240" s="6">
        <f t="shared" si="368"/>
        <v>0.66008657440845253</v>
      </c>
      <c r="AU240" s="6">
        <f t="shared" si="372"/>
        <v>2.1970562827344047</v>
      </c>
      <c r="AV240" s="6"/>
      <c r="AW240" s="181">
        <f t="shared" si="373"/>
        <v>0.23103030104295838</v>
      </c>
      <c r="AX240" s="181"/>
      <c r="CB240" s="583">
        <f t="shared" si="369"/>
        <v>-50</v>
      </c>
      <c r="CC240">
        <f t="shared" si="370"/>
        <v>-50</v>
      </c>
    </row>
    <row r="241" spans="5:81" x14ac:dyDescent="0.2">
      <c r="E241" s="178">
        <v>25</v>
      </c>
      <c r="F241" s="225">
        <f t="shared" si="371"/>
        <v>7.4999999999999997E-2</v>
      </c>
      <c r="G241" s="225"/>
      <c r="H241" s="225">
        <f t="shared" si="340"/>
        <v>1.125</v>
      </c>
      <c r="I241" s="561">
        <f t="shared" si="341"/>
        <v>24</v>
      </c>
      <c r="J241" s="456">
        <f t="shared" si="342"/>
        <v>15.25</v>
      </c>
      <c r="K241" s="456">
        <f t="shared" si="343"/>
        <v>39.25</v>
      </c>
      <c r="L241" s="456"/>
      <c r="M241" s="225">
        <f t="shared" si="344"/>
        <v>0.38853503184713378</v>
      </c>
      <c r="N241" s="180">
        <f t="shared" si="345"/>
        <v>6.0844585987261137</v>
      </c>
      <c r="O241" s="180">
        <f t="shared" si="325"/>
        <v>1.125</v>
      </c>
      <c r="P241" s="225">
        <f t="shared" si="346"/>
        <v>0.40563057324840757</v>
      </c>
      <c r="Q241" s="225">
        <f t="shared" si="347"/>
        <v>15</v>
      </c>
      <c r="R241" s="225"/>
      <c r="S241" s="180">
        <f t="shared" si="348"/>
        <v>184.83241799013192</v>
      </c>
      <c r="T241" s="180">
        <f t="shared" si="349"/>
        <v>15</v>
      </c>
      <c r="U241" s="225">
        <f t="shared" si="350"/>
        <v>0.26810109289617484</v>
      </c>
      <c r="V241" s="225">
        <f t="shared" si="351"/>
        <v>0.44683515482695818</v>
      </c>
      <c r="W241" s="225">
        <f t="shared" si="352"/>
        <v>0.70321598136701602</v>
      </c>
      <c r="X241" s="205">
        <f t="shared" si="353"/>
        <v>350</v>
      </c>
      <c r="Y241" s="456">
        <f t="shared" si="354"/>
        <v>350</v>
      </c>
      <c r="AA241" s="225">
        <f t="shared" si="355"/>
        <v>0.66606005459508633</v>
      </c>
      <c r="AB241" s="181">
        <f t="shared" si="356"/>
        <v>1.7470427661510461</v>
      </c>
      <c r="AC241" s="181">
        <f t="shared" si="357"/>
        <v>0.20363619503544039</v>
      </c>
      <c r="AD241" s="181"/>
      <c r="AE241" s="181">
        <f t="shared" si="358"/>
        <v>0.76065573770491812</v>
      </c>
      <c r="AF241" s="565">
        <f t="shared" si="359"/>
        <v>679.99405469678948</v>
      </c>
      <c r="AG241" s="548">
        <f t="shared" si="360"/>
        <v>3.8603278688524589E-2</v>
      </c>
      <c r="AI241" s="181">
        <f t="shared" si="361"/>
        <v>0.40421882334059744</v>
      </c>
      <c r="AJ241" s="181">
        <f t="shared" si="362"/>
        <v>0.40421882334059744</v>
      </c>
      <c r="AK241" s="181">
        <f t="shared" si="363"/>
        <v>1.28460653580785</v>
      </c>
      <c r="AM241" s="565">
        <f t="shared" si="364"/>
        <v>75</v>
      </c>
      <c r="AN241" s="474">
        <f t="shared" si="365"/>
        <v>350</v>
      </c>
      <c r="AP241">
        <f t="shared" si="366"/>
        <v>75</v>
      </c>
      <c r="AQ241">
        <f t="shared" si="367"/>
        <v>350</v>
      </c>
      <c r="AS241" s="6">
        <f t="shared" si="326"/>
        <v>2.8571428571428572</v>
      </c>
      <c r="AT241" s="6">
        <f t="shared" si="368"/>
        <v>0.67369803890099567</v>
      </c>
      <c r="AU241" s="6">
        <f t="shared" si="372"/>
        <v>2.1834448182418615</v>
      </c>
      <c r="AV241" s="6"/>
      <c r="AW241" s="181">
        <f t="shared" si="373"/>
        <v>0.23579431361534847</v>
      </c>
      <c r="AX241" s="181"/>
      <c r="CB241" s="583">
        <f t="shared" si="369"/>
        <v>-50</v>
      </c>
      <c r="CC241">
        <f t="shared" si="370"/>
        <v>-50</v>
      </c>
    </row>
    <row r="242" spans="5:81" x14ac:dyDescent="0.2">
      <c r="E242" s="178">
        <v>26</v>
      </c>
      <c r="F242" s="225">
        <f t="shared" si="371"/>
        <v>7.8E-2</v>
      </c>
      <c r="G242" s="225"/>
      <c r="H242" s="225">
        <f t="shared" si="340"/>
        <v>1.17</v>
      </c>
      <c r="I242" s="561">
        <f t="shared" si="341"/>
        <v>24</v>
      </c>
      <c r="J242" s="456">
        <f t="shared" si="342"/>
        <v>15.25</v>
      </c>
      <c r="K242" s="456">
        <f t="shared" si="343"/>
        <v>39.25</v>
      </c>
      <c r="L242" s="456"/>
      <c r="M242" s="225">
        <f t="shared" si="344"/>
        <v>0.38853503184713378</v>
      </c>
      <c r="N242" s="180">
        <f t="shared" si="345"/>
        <v>6.0844585987261137</v>
      </c>
      <c r="O242" s="180">
        <f t="shared" si="325"/>
        <v>1.17</v>
      </c>
      <c r="P242" s="225">
        <f t="shared" si="346"/>
        <v>0.40563057324840757</v>
      </c>
      <c r="Q242" s="225">
        <f t="shared" si="347"/>
        <v>15</v>
      </c>
      <c r="R242" s="225"/>
      <c r="S242" s="180">
        <f t="shared" si="348"/>
        <v>176.80311890425563</v>
      </c>
      <c r="T242" s="180">
        <f t="shared" si="349"/>
        <v>15</v>
      </c>
      <c r="U242" s="225">
        <f t="shared" si="350"/>
        <v>0.2788251366120218</v>
      </c>
      <c r="V242" s="225">
        <f t="shared" si="351"/>
        <v>0.46470856102003638</v>
      </c>
      <c r="W242" s="225">
        <f t="shared" si="352"/>
        <v>0.73134462062169647</v>
      </c>
      <c r="X242" s="205">
        <f t="shared" si="353"/>
        <v>350</v>
      </c>
      <c r="Y242" s="456">
        <f t="shared" si="354"/>
        <v>350</v>
      </c>
      <c r="AA242" s="225">
        <f t="shared" si="355"/>
        <v>0.66606005459508633</v>
      </c>
      <c r="AB242" s="181">
        <f t="shared" si="356"/>
        <v>1.7470427661510461</v>
      </c>
      <c r="AC242" s="181">
        <f t="shared" si="357"/>
        <v>0.20363619503544039</v>
      </c>
      <c r="AD242" s="181"/>
      <c r="AE242" s="181">
        <f t="shared" si="358"/>
        <v>0.76065573770491812</v>
      </c>
      <c r="AF242" s="565">
        <f t="shared" si="359"/>
        <v>707.19381688466115</v>
      </c>
      <c r="AG242" s="548">
        <f t="shared" si="360"/>
        <v>3.8603278688524589E-2</v>
      </c>
      <c r="AI242" s="181">
        <f t="shared" si="361"/>
        <v>0.41222393359504422</v>
      </c>
      <c r="AJ242" s="181">
        <f t="shared" si="362"/>
        <v>0.41222393359504422</v>
      </c>
      <c r="AK242" s="181">
        <f t="shared" si="363"/>
        <v>1.2905362471074402</v>
      </c>
      <c r="AM242" s="565">
        <f t="shared" si="364"/>
        <v>78</v>
      </c>
      <c r="AN242" s="474">
        <f t="shared" si="365"/>
        <v>350</v>
      </c>
      <c r="AP242">
        <f t="shared" si="366"/>
        <v>78</v>
      </c>
      <c r="AQ242">
        <f t="shared" si="367"/>
        <v>350</v>
      </c>
      <c r="AS242" s="6">
        <f t="shared" si="326"/>
        <v>2.8571428571428572</v>
      </c>
      <c r="AT242" s="6">
        <f t="shared" si="368"/>
        <v>0.68703988932507365</v>
      </c>
      <c r="AU242" s="6">
        <f t="shared" si="372"/>
        <v>2.1701029678177837</v>
      </c>
      <c r="AV242" s="6"/>
      <c r="AW242" s="181">
        <f t="shared" si="373"/>
        <v>0.24046396126377578</v>
      </c>
      <c r="AX242" s="181"/>
      <c r="CB242" s="583">
        <f t="shared" si="369"/>
        <v>-50</v>
      </c>
      <c r="CC242">
        <f t="shared" si="370"/>
        <v>-50</v>
      </c>
    </row>
    <row r="243" spans="5:81" x14ac:dyDescent="0.2">
      <c r="E243" s="178">
        <v>27</v>
      </c>
      <c r="F243" s="225">
        <f t="shared" si="371"/>
        <v>8.1000000000000003E-2</v>
      </c>
      <c r="G243" s="225"/>
      <c r="H243" s="225">
        <f t="shared" si="340"/>
        <v>1.2150000000000001</v>
      </c>
      <c r="I243" s="561">
        <f t="shared" si="341"/>
        <v>24</v>
      </c>
      <c r="J243" s="456">
        <f t="shared" si="342"/>
        <v>15.25</v>
      </c>
      <c r="K243" s="456">
        <f t="shared" si="343"/>
        <v>39.25</v>
      </c>
      <c r="L243" s="456"/>
      <c r="M243" s="225">
        <f t="shared" si="344"/>
        <v>0.38853503184713378</v>
      </c>
      <c r="N243" s="180">
        <f t="shared" si="345"/>
        <v>6.0844585987261137</v>
      </c>
      <c r="O243" s="180">
        <f t="shared" si="325"/>
        <v>1.2150000000000001</v>
      </c>
      <c r="P243" s="225">
        <f t="shared" si="346"/>
        <v>0.40563057324840757</v>
      </c>
      <c r="Q243" s="225">
        <f t="shared" si="347"/>
        <v>15</v>
      </c>
      <c r="R243" s="225"/>
      <c r="S243" s="180">
        <f t="shared" si="348"/>
        <v>169.36870679015033</v>
      </c>
      <c r="T243" s="180">
        <f t="shared" si="349"/>
        <v>15</v>
      </c>
      <c r="U243" s="225">
        <f t="shared" si="350"/>
        <v>0.28954918032786886</v>
      </c>
      <c r="V243" s="225">
        <f t="shared" si="351"/>
        <v>0.4825819672131148</v>
      </c>
      <c r="W243" s="225">
        <f t="shared" si="352"/>
        <v>0.75947325987637737</v>
      </c>
      <c r="X243" s="205">
        <f t="shared" si="353"/>
        <v>350</v>
      </c>
      <c r="Y243" s="456">
        <f t="shared" si="354"/>
        <v>350</v>
      </c>
      <c r="AA243" s="225">
        <f t="shared" si="355"/>
        <v>0.66606005459508633</v>
      </c>
      <c r="AB243" s="181">
        <f t="shared" si="356"/>
        <v>1.7470427661510461</v>
      </c>
      <c r="AC243" s="181">
        <f t="shared" si="357"/>
        <v>0.20363619503544039</v>
      </c>
      <c r="AD243" s="181"/>
      <c r="AE243" s="181">
        <f t="shared" si="358"/>
        <v>0.76065573770491812</v>
      </c>
      <c r="AF243" s="565">
        <f t="shared" si="359"/>
        <v>734.3935790725327</v>
      </c>
      <c r="AG243" s="548">
        <f t="shared" si="360"/>
        <v>3.8603278688524589E-2</v>
      </c>
      <c r="AI243" s="181">
        <f t="shared" si="361"/>
        <v>0.42007652364097392</v>
      </c>
      <c r="AJ243" s="181">
        <f t="shared" si="362"/>
        <v>0.42007652364097392</v>
      </c>
      <c r="AK243" s="181">
        <f t="shared" si="363"/>
        <v>1.2963529804747955</v>
      </c>
      <c r="AM243" s="565">
        <f t="shared" si="364"/>
        <v>81</v>
      </c>
      <c r="AN243" s="474">
        <f t="shared" si="365"/>
        <v>350</v>
      </c>
      <c r="AP243">
        <f t="shared" si="366"/>
        <v>81</v>
      </c>
      <c r="AQ243">
        <f t="shared" si="367"/>
        <v>350</v>
      </c>
      <c r="AS243" s="6">
        <f t="shared" si="326"/>
        <v>2.8571428571428572</v>
      </c>
      <c r="AT243" s="6">
        <f t="shared" si="368"/>
        <v>0.7001275394016232</v>
      </c>
      <c r="AU243" s="6">
        <f t="shared" si="372"/>
        <v>2.1570153177412341</v>
      </c>
      <c r="AV243" s="6"/>
      <c r="AW243" s="181">
        <f t="shared" si="373"/>
        <v>0.24504463879056812</v>
      </c>
      <c r="AX243" s="181"/>
      <c r="CB243" s="583">
        <f t="shared" si="369"/>
        <v>-50</v>
      </c>
      <c r="CC243">
        <f t="shared" si="370"/>
        <v>-50</v>
      </c>
    </row>
    <row r="244" spans="5:81" x14ac:dyDescent="0.2">
      <c r="E244" s="178">
        <v>28</v>
      </c>
      <c r="F244" s="225">
        <f t="shared" si="371"/>
        <v>8.4000000000000005E-2</v>
      </c>
      <c r="G244" s="225"/>
      <c r="H244" s="225">
        <f t="shared" si="340"/>
        <v>1.26</v>
      </c>
      <c r="I244" s="561">
        <f t="shared" si="341"/>
        <v>24</v>
      </c>
      <c r="J244" s="456">
        <f t="shared" si="342"/>
        <v>15.25</v>
      </c>
      <c r="K244" s="456">
        <f t="shared" si="343"/>
        <v>39.25</v>
      </c>
      <c r="L244" s="456"/>
      <c r="M244" s="225">
        <f t="shared" si="344"/>
        <v>0.38853503184713378</v>
      </c>
      <c r="N244" s="180">
        <f t="shared" si="345"/>
        <v>6.0844585987261137</v>
      </c>
      <c r="O244" s="180">
        <f t="shared" si="325"/>
        <v>1.26</v>
      </c>
      <c r="P244" s="225">
        <f t="shared" si="346"/>
        <v>0.40563057324840757</v>
      </c>
      <c r="Q244" s="225">
        <f t="shared" si="347"/>
        <v>15</v>
      </c>
      <c r="R244" s="225"/>
      <c r="S244" s="180">
        <f t="shared" si="348"/>
        <v>162.46544561698818</v>
      </c>
      <c r="T244" s="180">
        <f t="shared" si="349"/>
        <v>15</v>
      </c>
      <c r="U244" s="225">
        <f t="shared" si="350"/>
        <v>0.30027322404371581</v>
      </c>
      <c r="V244" s="225">
        <f t="shared" si="351"/>
        <v>0.50045537340619306</v>
      </c>
      <c r="W244" s="225">
        <f t="shared" si="352"/>
        <v>0.78760189913105805</v>
      </c>
      <c r="X244" s="205">
        <f t="shared" si="353"/>
        <v>350</v>
      </c>
      <c r="Y244" s="456">
        <f t="shared" si="354"/>
        <v>350</v>
      </c>
      <c r="AA244" s="225">
        <f t="shared" si="355"/>
        <v>0.66606005459508633</v>
      </c>
      <c r="AB244" s="181">
        <f t="shared" si="356"/>
        <v>1.7470427661510461</v>
      </c>
      <c r="AC244" s="181">
        <f t="shared" si="357"/>
        <v>0.20363619503544039</v>
      </c>
      <c r="AD244" s="181"/>
      <c r="AE244" s="181">
        <f t="shared" si="358"/>
        <v>0.76065573770491812</v>
      </c>
      <c r="AF244" s="565">
        <f t="shared" si="359"/>
        <v>761.59334126040437</v>
      </c>
      <c r="AG244" s="548">
        <f t="shared" si="360"/>
        <v>3.8603278688524589E-2</v>
      </c>
      <c r="AI244" s="181">
        <f t="shared" si="361"/>
        <v>0.42778499272414877</v>
      </c>
      <c r="AJ244" s="181">
        <f t="shared" si="362"/>
        <v>0.42778499272414877</v>
      </c>
      <c r="AK244" s="181">
        <f t="shared" si="363"/>
        <v>1.3020629575734435</v>
      </c>
      <c r="AM244" s="565">
        <f t="shared" si="364"/>
        <v>84</v>
      </c>
      <c r="AN244" s="474">
        <f t="shared" si="365"/>
        <v>350</v>
      </c>
      <c r="AP244">
        <f t="shared" si="366"/>
        <v>84</v>
      </c>
      <c r="AQ244">
        <f t="shared" si="367"/>
        <v>350</v>
      </c>
      <c r="AS244" s="6">
        <f t="shared" si="326"/>
        <v>2.8571428571428572</v>
      </c>
      <c r="AT244" s="6">
        <f t="shared" si="368"/>
        <v>0.71297498787358127</v>
      </c>
      <c r="AU244" s="6">
        <f t="shared" si="372"/>
        <v>2.144167869269276</v>
      </c>
      <c r="AV244" s="6"/>
      <c r="AW244" s="181">
        <f t="shared" si="373"/>
        <v>0.24954124575575343</v>
      </c>
      <c r="AX244" s="181"/>
      <c r="CB244" s="583">
        <f t="shared" si="369"/>
        <v>-50</v>
      </c>
      <c r="CC244">
        <f t="shared" si="370"/>
        <v>-50</v>
      </c>
    </row>
    <row r="245" spans="5:81" x14ac:dyDescent="0.2">
      <c r="E245" s="178">
        <v>29</v>
      </c>
      <c r="F245" s="225">
        <f t="shared" si="371"/>
        <v>8.6999999999999994E-2</v>
      </c>
      <c r="G245" s="225"/>
      <c r="H245" s="225">
        <f t="shared" si="340"/>
        <v>1.3049999999999999</v>
      </c>
      <c r="I245" s="561">
        <f t="shared" si="341"/>
        <v>24</v>
      </c>
      <c r="J245" s="456">
        <f t="shared" si="342"/>
        <v>15.25</v>
      </c>
      <c r="K245" s="456">
        <f t="shared" si="343"/>
        <v>39.25</v>
      </c>
      <c r="L245" s="456"/>
      <c r="M245" s="225">
        <f t="shared" si="344"/>
        <v>0.38853503184713378</v>
      </c>
      <c r="N245" s="180">
        <f t="shared" si="345"/>
        <v>6.0844585987261137</v>
      </c>
      <c r="O245" s="180">
        <f t="shared" si="325"/>
        <v>1.3049999999999999</v>
      </c>
      <c r="P245" s="225">
        <f t="shared" si="346"/>
        <v>0.40563057324840757</v>
      </c>
      <c r="Q245" s="225">
        <f t="shared" si="347"/>
        <v>15</v>
      </c>
      <c r="R245" s="225"/>
      <c r="S245" s="180">
        <f t="shared" si="348"/>
        <v>156.03839056745176</v>
      </c>
      <c r="T245" s="180">
        <f t="shared" si="349"/>
        <v>15</v>
      </c>
      <c r="U245" s="225">
        <f t="shared" si="350"/>
        <v>0.31099726775956282</v>
      </c>
      <c r="V245" s="225">
        <f t="shared" si="351"/>
        <v>0.51832877959927148</v>
      </c>
      <c r="W245" s="225">
        <f t="shared" si="352"/>
        <v>0.81573053838573872</v>
      </c>
      <c r="X245" s="205">
        <f t="shared" si="353"/>
        <v>350</v>
      </c>
      <c r="Y245" s="456">
        <f t="shared" si="354"/>
        <v>350</v>
      </c>
      <c r="AA245" s="225">
        <f t="shared" si="355"/>
        <v>0.66606005459508633</v>
      </c>
      <c r="AB245" s="181">
        <f t="shared" si="356"/>
        <v>1.7470427661510461</v>
      </c>
      <c r="AC245" s="181">
        <f t="shared" si="357"/>
        <v>0.20363619503544039</v>
      </c>
      <c r="AD245" s="181"/>
      <c r="AE245" s="181">
        <f t="shared" si="358"/>
        <v>0.76065573770491812</v>
      </c>
      <c r="AF245" s="565">
        <f t="shared" si="359"/>
        <v>788.79310344827582</v>
      </c>
      <c r="AG245" s="548">
        <f t="shared" si="360"/>
        <v>3.8603278688524589E-2</v>
      </c>
      <c r="AI245" s="181">
        <f t="shared" si="361"/>
        <v>0.43535699636702091</v>
      </c>
      <c r="AJ245" s="181">
        <f t="shared" si="362"/>
        <v>0.43535699636702091</v>
      </c>
      <c r="AK245" s="181">
        <f t="shared" si="363"/>
        <v>1.3076718491607562</v>
      </c>
      <c r="AM245" s="565">
        <f t="shared" si="364"/>
        <v>87</v>
      </c>
      <c r="AN245" s="474">
        <f t="shared" si="365"/>
        <v>350</v>
      </c>
      <c r="AP245">
        <f t="shared" si="366"/>
        <v>87</v>
      </c>
      <c r="AQ245">
        <f t="shared" si="367"/>
        <v>350</v>
      </c>
      <c r="AS245" s="6">
        <f t="shared" si="326"/>
        <v>2.8571428571428572</v>
      </c>
      <c r="AT245" s="6">
        <f t="shared" si="368"/>
        <v>0.72559499394503491</v>
      </c>
      <c r="AU245" s="6">
        <f t="shared" si="372"/>
        <v>2.1315478631978224</v>
      </c>
      <c r="AV245" s="6"/>
      <c r="AW245" s="181">
        <f t="shared" si="373"/>
        <v>0.25395824788076221</v>
      </c>
      <c r="AX245" s="181"/>
      <c r="CB245" s="583">
        <f t="shared" si="369"/>
        <v>-50</v>
      </c>
      <c r="CC245">
        <f t="shared" si="370"/>
        <v>-50</v>
      </c>
    </row>
    <row r="246" spans="5:81" x14ac:dyDescent="0.2">
      <c r="E246" s="178">
        <v>30</v>
      </c>
      <c r="F246" s="225">
        <f t="shared" si="371"/>
        <v>0.09</v>
      </c>
      <c r="G246" s="225"/>
      <c r="H246" s="225">
        <f t="shared" si="340"/>
        <v>1.3499999999999999</v>
      </c>
      <c r="I246" s="561">
        <f t="shared" si="341"/>
        <v>24</v>
      </c>
      <c r="J246" s="456">
        <f t="shared" si="342"/>
        <v>15.25</v>
      </c>
      <c r="K246" s="456">
        <f t="shared" si="343"/>
        <v>39.25</v>
      </c>
      <c r="L246" s="456"/>
      <c r="M246" s="225">
        <f t="shared" si="344"/>
        <v>0.38853503184713378</v>
      </c>
      <c r="N246" s="180">
        <f t="shared" si="345"/>
        <v>6.0844585987261137</v>
      </c>
      <c r="O246" s="180">
        <f t="shared" si="325"/>
        <v>1.3499999999999999</v>
      </c>
      <c r="P246" s="225">
        <f t="shared" si="346"/>
        <v>0.40563057324840757</v>
      </c>
      <c r="Q246" s="225">
        <f t="shared" si="347"/>
        <v>15</v>
      </c>
      <c r="R246" s="225"/>
      <c r="S246" s="180">
        <f t="shared" si="348"/>
        <v>150.03992283638692</v>
      </c>
      <c r="T246" s="180">
        <f t="shared" si="349"/>
        <v>15</v>
      </c>
      <c r="U246" s="225">
        <f t="shared" si="350"/>
        <v>0.32172131147540978</v>
      </c>
      <c r="V246" s="225">
        <f t="shared" si="351"/>
        <v>0.53620218579234968</v>
      </c>
      <c r="W246" s="225">
        <f t="shared" si="352"/>
        <v>0.84385917764041918</v>
      </c>
      <c r="X246" s="205">
        <f t="shared" si="353"/>
        <v>350</v>
      </c>
      <c r="Y246" s="456">
        <f t="shared" si="354"/>
        <v>350</v>
      </c>
      <c r="AA246" s="225">
        <f t="shared" si="355"/>
        <v>0.66606005459508633</v>
      </c>
      <c r="AB246" s="181">
        <f t="shared" si="356"/>
        <v>1.7470427661510461</v>
      </c>
      <c r="AC246" s="181">
        <f t="shared" si="357"/>
        <v>0.20363619503544039</v>
      </c>
      <c r="AD246" s="181"/>
      <c r="AE246" s="181">
        <f t="shared" si="358"/>
        <v>0.76065573770491812</v>
      </c>
      <c r="AF246" s="565">
        <f t="shared" si="359"/>
        <v>815.99286563614749</v>
      </c>
      <c r="AG246" s="548">
        <f t="shared" si="360"/>
        <v>3.8603278688524589E-2</v>
      </c>
      <c r="AI246" s="181">
        <f t="shared" si="361"/>
        <v>0.44279953542368194</v>
      </c>
      <c r="AJ246" s="181">
        <f t="shared" si="362"/>
        <v>0.44279953542368194</v>
      </c>
      <c r="AK246" s="181">
        <f t="shared" si="363"/>
        <v>1.3131848410545792</v>
      </c>
      <c r="AM246" s="565">
        <f t="shared" si="364"/>
        <v>90</v>
      </c>
      <c r="AN246" s="474">
        <f t="shared" si="365"/>
        <v>350</v>
      </c>
      <c r="AP246">
        <f t="shared" si="366"/>
        <v>90</v>
      </c>
      <c r="AQ246">
        <f t="shared" si="367"/>
        <v>350</v>
      </c>
      <c r="AS246" s="6">
        <f t="shared" si="326"/>
        <v>2.8571428571428572</v>
      </c>
      <c r="AT246" s="6">
        <f t="shared" si="368"/>
        <v>0.73799922570613663</v>
      </c>
      <c r="AU246" s="6">
        <f t="shared" si="372"/>
        <v>2.1191436314367205</v>
      </c>
      <c r="AV246" s="6"/>
      <c r="AW246" s="181">
        <f t="shared" si="373"/>
        <v>0.25829972899714781</v>
      </c>
      <c r="AX246" s="181"/>
      <c r="CB246" s="583">
        <f t="shared" si="369"/>
        <v>-50</v>
      </c>
      <c r="CC246">
        <f t="shared" si="370"/>
        <v>-50</v>
      </c>
    </row>
    <row r="247" spans="5:81" x14ac:dyDescent="0.2">
      <c r="E247" s="178">
        <v>31</v>
      </c>
      <c r="F247" s="225">
        <f t="shared" si="371"/>
        <v>9.2999999999999999E-2</v>
      </c>
      <c r="G247" s="225"/>
      <c r="H247" s="225">
        <f t="shared" si="340"/>
        <v>1.395</v>
      </c>
      <c r="I247" s="561">
        <f t="shared" si="341"/>
        <v>24</v>
      </c>
      <c r="J247" s="456">
        <f t="shared" si="342"/>
        <v>15.25</v>
      </c>
      <c r="K247" s="456">
        <f t="shared" si="343"/>
        <v>39.25</v>
      </c>
      <c r="L247" s="456"/>
      <c r="M247" s="225">
        <f t="shared" si="344"/>
        <v>0.38853503184713378</v>
      </c>
      <c r="N247" s="180">
        <f t="shared" si="345"/>
        <v>6.0844585987261137</v>
      </c>
      <c r="O247" s="180">
        <f t="shared" si="325"/>
        <v>1.395</v>
      </c>
      <c r="P247" s="225">
        <f t="shared" si="346"/>
        <v>0.40563057324840757</v>
      </c>
      <c r="Q247" s="225">
        <f t="shared" si="347"/>
        <v>15</v>
      </c>
      <c r="R247" s="225"/>
      <c r="S247" s="180">
        <f t="shared" si="348"/>
        <v>144.42856801684022</v>
      </c>
      <c r="T247" s="180">
        <f t="shared" si="349"/>
        <v>15</v>
      </c>
      <c r="U247" s="225">
        <f t="shared" si="350"/>
        <v>0.33244535519125679</v>
      </c>
      <c r="V247" s="225">
        <f t="shared" si="351"/>
        <v>0.55407559198542811</v>
      </c>
      <c r="W247" s="225">
        <f t="shared" si="352"/>
        <v>0.87198781689509985</v>
      </c>
      <c r="X247" s="205">
        <f t="shared" si="353"/>
        <v>350</v>
      </c>
      <c r="Y247" s="456">
        <f t="shared" si="354"/>
        <v>350</v>
      </c>
      <c r="AA247" s="225">
        <f t="shared" si="355"/>
        <v>0.66606005459508633</v>
      </c>
      <c r="AB247" s="181">
        <f t="shared" si="356"/>
        <v>1.7470427661510461</v>
      </c>
      <c r="AC247" s="181">
        <f t="shared" si="357"/>
        <v>0.20363619503544039</v>
      </c>
      <c r="AD247" s="181"/>
      <c r="AE247" s="181">
        <f t="shared" si="358"/>
        <v>0.76065573770491812</v>
      </c>
      <c r="AF247" s="565">
        <f t="shared" si="359"/>
        <v>843.19262782401904</v>
      </c>
      <c r="AG247" s="548">
        <f t="shared" si="360"/>
        <v>3.8603278688524589E-2</v>
      </c>
      <c r="AI247" s="181">
        <f t="shared" si="361"/>
        <v>0.45011903187617258</v>
      </c>
      <c r="AJ247" s="181">
        <f t="shared" si="362"/>
        <v>0.45011903187617258</v>
      </c>
      <c r="AK247" s="181">
        <f t="shared" si="363"/>
        <v>1.3186066902786464</v>
      </c>
      <c r="AM247" s="565">
        <f t="shared" si="364"/>
        <v>93</v>
      </c>
      <c r="AN247" s="474">
        <f t="shared" si="365"/>
        <v>350</v>
      </c>
      <c r="AP247">
        <f t="shared" si="366"/>
        <v>93</v>
      </c>
      <c r="AQ247">
        <f t="shared" si="367"/>
        <v>350</v>
      </c>
      <c r="AS247" s="6">
        <f t="shared" si="326"/>
        <v>2.8571428571428572</v>
      </c>
      <c r="AT247" s="6">
        <f t="shared" si="368"/>
        <v>0.7501983864602878</v>
      </c>
      <c r="AU247" s="6">
        <f t="shared" si="372"/>
        <v>2.1069444706825693</v>
      </c>
      <c r="AV247" s="6"/>
      <c r="AW247" s="181">
        <f t="shared" si="373"/>
        <v>0.26256943526110071</v>
      </c>
      <c r="AX247" s="181"/>
      <c r="CB247" s="583">
        <f t="shared" si="369"/>
        <v>-50</v>
      </c>
      <c r="CC247">
        <f t="shared" si="370"/>
        <v>-50</v>
      </c>
    </row>
    <row r="248" spans="5:81" x14ac:dyDescent="0.2">
      <c r="E248" s="178">
        <v>32</v>
      </c>
      <c r="F248" s="225">
        <f t="shared" si="371"/>
        <v>9.6000000000000002E-2</v>
      </c>
      <c r="G248" s="225"/>
      <c r="H248" s="225">
        <f t="shared" ref="H248:H279" si="374">F248*Vout</f>
        <v>1.44</v>
      </c>
      <c r="I248" s="561">
        <f t="shared" ref="I248:I279" si="375">VIN_max</f>
        <v>24</v>
      </c>
      <c r="J248" s="456">
        <f t="shared" ref="J248:J279" si="376">(T248+Vfwd1)*Nps</f>
        <v>15.25</v>
      </c>
      <c r="K248" s="456">
        <f t="shared" ref="K248:K279" si="377">(Vout+Vfwd1)*Nps+I248</f>
        <v>39.25</v>
      </c>
      <c r="L248" s="456"/>
      <c r="M248" s="225">
        <f t="shared" ref="M248:M279" si="378">(Vout+Vfwd1)*Nps/((Vout+Vfwd1)*Nps+I248)</f>
        <v>0.38853503184713378</v>
      </c>
      <c r="N248" s="180">
        <f t="shared" ref="N248:N279" si="379">M248*I248*Isw_max*0.5*Efficiency</f>
        <v>6.0844585987261137</v>
      </c>
      <c r="O248" s="180">
        <f t="shared" si="325"/>
        <v>1.44</v>
      </c>
      <c r="P248" s="225">
        <f t="shared" ref="P248:P279" si="380">N248/Vout</f>
        <v>0.40563057324840757</v>
      </c>
      <c r="Q248" s="225">
        <f t="shared" ref="Q248:Q279" si="381">MIN(Vout,N248/F248)</f>
        <v>15</v>
      </c>
      <c r="R248" s="225"/>
      <c r="S248" s="180">
        <f t="shared" ref="S248:S279" si="382">(SQRT(Isw_max^2*Nps^2*I248^2+4*Isw_max*F248/Efficiency*(Nps^2*Vfwd1*I248-Nps*I248^2)+4*(F248/Efficiency)^2*Nps^2*Vfwd1^2+8*(F248/Efficiency)^2*Nps*Vfwd1*I248+4*(F248/Efficiency)^2*I248^2)-2*F248/Efficiency*I248-2*F248/Efficiency*Nps*Vfwd1+Isw_max*Nps*I248)/(4*F248/Efficiency*Nps)</f>
        <v>139.16803603873987</v>
      </c>
      <c r="T248" s="180">
        <f t="shared" ref="T248:T279" si="383">MIN(Vout, S248)</f>
        <v>15</v>
      </c>
      <c r="U248" s="225">
        <f t="shared" ref="U248:U279" si="384">MIN(2*Vout*F248/(Efficiency*I248*M248), Isw_max)</f>
        <v>0.3431693989071038</v>
      </c>
      <c r="V248" s="225">
        <f t="shared" ref="V248:V279" si="385">L*U248/I248*1000000</f>
        <v>0.57194899817850642</v>
      </c>
      <c r="W248" s="225">
        <f t="shared" ref="W248:W279" si="386">L*U248/J248*1000000</f>
        <v>0.90011645614978053</v>
      </c>
      <c r="X248" s="205">
        <f t="shared" ref="X248:X279" si="387">IF(1/((350000*L)*(1/I248+1/J248))&gt;Isw_min, 350, 0.001/((Isw_min*L)*(1/I248+1/J248)))</f>
        <v>350</v>
      </c>
      <c r="Y248" s="456">
        <f t="shared" si="354"/>
        <v>350</v>
      </c>
      <c r="AA248" s="225">
        <f t="shared" ref="AA248:AA279" si="388">1/((X248*1000*L)*(1/I248+1/J248))</f>
        <v>0.66606005459508633</v>
      </c>
      <c r="AB248" s="181">
        <f t="shared" ref="AB248:AB279" si="389">L*AA248/J248*1000000</f>
        <v>1.7470427661510461</v>
      </c>
      <c r="AC248" s="181">
        <f t="shared" ref="AC248:AC279" si="390">0.5*AB248*AA248*Nps*X248/1000</f>
        <v>0.20363619503544039</v>
      </c>
      <c r="AD248" s="181"/>
      <c r="AE248" s="181">
        <f t="shared" ref="AE248:AE279" si="391">L*Isw_min/J248*1000000</f>
        <v>0.76065573770491812</v>
      </c>
      <c r="AF248" s="565">
        <f t="shared" ref="AF248:AF279" si="392">MAX(10000,F248/(0.5*AE248/1000000*Isw_min*Nps))/1000</f>
        <v>870.3923900118906</v>
      </c>
      <c r="AG248" s="548">
        <f t="shared" ref="AG248:AG279" si="393">0.5*AE248/1000000*Isw_min*Nps*X248*1000</f>
        <v>3.8603278688524589E-2</v>
      </c>
      <c r="AI248" s="181">
        <f t="shared" ref="AI248:AI279" si="394">SQRT(F248/(0.5*L/J248*Fsw_DCM*Nps))</f>
        <v>0.45732139370781366</v>
      </c>
      <c r="AJ248" s="181">
        <f t="shared" ref="AJ248:AJ279" si="395">MAX(IF(F248&gt;AC248,U248,AI248),Isw_min)</f>
        <v>0.45732139370781366</v>
      </c>
      <c r="AK248" s="181">
        <f t="shared" ref="AK248:AK279" si="396">IF(F248&gt;AG248, (AJ248-Isw_min)/1.08*0.8+1.2, AF248*0.2/350+1)</f>
        <v>1.323941773116899</v>
      </c>
      <c r="AM248" s="565">
        <f t="shared" ref="AM248:AM279" si="397">F248*1000</f>
        <v>96</v>
      </c>
      <c r="AN248" s="474">
        <f t="shared" ref="AN248:AN279" si="398">IF(F248&gt;AG248, Y248, AF248)</f>
        <v>350</v>
      </c>
      <c r="AP248">
        <f t="shared" ref="AP248:AP279" si="399">IF(H248&gt;N248, "",AM248)</f>
        <v>96</v>
      </c>
      <c r="AQ248">
        <f t="shared" ref="AQ248:AQ279" si="400">IF(H248&gt;N248, "",AN248)</f>
        <v>350</v>
      </c>
      <c r="AS248" s="6">
        <f t="shared" si="326"/>
        <v>2.8571428571428572</v>
      </c>
      <c r="AT248" s="6">
        <f t="shared" ref="AT248:AT279" si="401">L*AJ248/I248*1000000</f>
        <v>0.76220232284635614</v>
      </c>
      <c r="AU248" s="6">
        <f t="shared" si="372"/>
        <v>2.0949405342965011</v>
      </c>
      <c r="AV248" s="6"/>
      <c r="AW248" s="181">
        <f t="shared" si="373"/>
        <v>0.26677081299622463</v>
      </c>
      <c r="AX248" s="181"/>
      <c r="CB248" s="583">
        <f t="shared" ref="CB248:CB279" si="402">IF(ABS(F248-Ioutmax_Vinmax)&lt;Iout/200, AN248, -50)</f>
        <v>-50</v>
      </c>
      <c r="CC248">
        <f t="shared" ref="CC248:CC279" si="403">IF(ABS(F248-Ioutmax_Vinmin)&lt;Iout/200, N248*BX248, -50)</f>
        <v>-50</v>
      </c>
    </row>
    <row r="249" spans="5:81" x14ac:dyDescent="0.2">
      <c r="E249" s="178">
        <v>33</v>
      </c>
      <c r="F249" s="225">
        <f t="shared" ref="F249:F280" si="404">IF(PLOT_TYPE=1, E249/100*Iout_max, min_I*EXP(N249*rr/100))</f>
        <v>9.9000000000000005E-2</v>
      </c>
      <c r="G249" s="225"/>
      <c r="H249" s="225">
        <f t="shared" si="374"/>
        <v>1.4850000000000001</v>
      </c>
      <c r="I249" s="561">
        <f t="shared" si="375"/>
        <v>24</v>
      </c>
      <c r="J249" s="456">
        <f t="shared" si="376"/>
        <v>15.25</v>
      </c>
      <c r="K249" s="456">
        <f t="shared" si="377"/>
        <v>39.25</v>
      </c>
      <c r="L249" s="456"/>
      <c r="M249" s="225">
        <f t="shared" si="378"/>
        <v>0.38853503184713378</v>
      </c>
      <c r="N249" s="180">
        <f t="shared" si="379"/>
        <v>6.0844585987261137</v>
      </c>
      <c r="O249" s="180">
        <f t="shared" si="325"/>
        <v>1.4850000000000001</v>
      </c>
      <c r="P249" s="225">
        <f t="shared" si="380"/>
        <v>0.40563057324840757</v>
      </c>
      <c r="Q249" s="225">
        <f t="shared" si="381"/>
        <v>15</v>
      </c>
      <c r="R249" s="225"/>
      <c r="S249" s="180">
        <f t="shared" si="382"/>
        <v>134.22643566420729</v>
      </c>
      <c r="T249" s="180">
        <f t="shared" si="383"/>
        <v>15</v>
      </c>
      <c r="U249" s="225">
        <f t="shared" si="384"/>
        <v>0.3538934426229508</v>
      </c>
      <c r="V249" s="225">
        <f t="shared" si="385"/>
        <v>0.58982240437158484</v>
      </c>
      <c r="W249" s="225">
        <f t="shared" si="386"/>
        <v>0.92824509540446121</v>
      </c>
      <c r="X249" s="205">
        <f t="shared" si="387"/>
        <v>350</v>
      </c>
      <c r="Y249" s="456">
        <f t="shared" si="354"/>
        <v>350</v>
      </c>
      <c r="AA249" s="225">
        <f t="shared" si="388"/>
        <v>0.66606005459508633</v>
      </c>
      <c r="AB249" s="181">
        <f t="shared" si="389"/>
        <v>1.7470427661510461</v>
      </c>
      <c r="AC249" s="181">
        <f t="shared" si="390"/>
        <v>0.20363619503544039</v>
      </c>
      <c r="AD249" s="181"/>
      <c r="AE249" s="181">
        <f t="shared" si="391"/>
        <v>0.76065573770491812</v>
      </c>
      <c r="AF249" s="565">
        <f t="shared" si="392"/>
        <v>897.59215219976215</v>
      </c>
      <c r="AG249" s="548">
        <f t="shared" si="393"/>
        <v>3.8603278688524589E-2</v>
      </c>
      <c r="AI249" s="181">
        <f t="shared" si="394"/>
        <v>0.46441207071799012</v>
      </c>
      <c r="AJ249" s="181">
        <f t="shared" si="395"/>
        <v>0.46441207071799012</v>
      </c>
      <c r="AK249" s="181">
        <f t="shared" si="396"/>
        <v>1.3291941264577705</v>
      </c>
      <c r="AM249" s="565">
        <f t="shared" si="397"/>
        <v>99</v>
      </c>
      <c r="AN249" s="474">
        <f t="shared" si="398"/>
        <v>350</v>
      </c>
      <c r="AP249">
        <f t="shared" si="399"/>
        <v>99</v>
      </c>
      <c r="AQ249">
        <f t="shared" si="400"/>
        <v>350</v>
      </c>
      <c r="AS249" s="6">
        <f t="shared" si="326"/>
        <v>2.8571428571428572</v>
      </c>
      <c r="AT249" s="6">
        <f t="shared" si="401"/>
        <v>0.77402011786331693</v>
      </c>
      <c r="AU249" s="6">
        <f t="shared" si="372"/>
        <v>2.0831227392795402</v>
      </c>
      <c r="AV249" s="6"/>
      <c r="AW249" s="181">
        <f t="shared" si="373"/>
        <v>0.27090704125216092</v>
      </c>
      <c r="AX249" s="181"/>
      <c r="CB249" s="583">
        <f t="shared" si="402"/>
        <v>-50</v>
      </c>
      <c r="CC249">
        <f t="shared" si="403"/>
        <v>-50</v>
      </c>
    </row>
    <row r="250" spans="5:81" x14ac:dyDescent="0.2">
      <c r="E250" s="178">
        <v>34</v>
      </c>
      <c r="F250" s="225">
        <f t="shared" si="404"/>
        <v>0.10200000000000001</v>
      </c>
      <c r="G250" s="225"/>
      <c r="H250" s="225">
        <f t="shared" si="374"/>
        <v>1.53</v>
      </c>
      <c r="I250" s="561">
        <f t="shared" si="375"/>
        <v>24</v>
      </c>
      <c r="J250" s="456">
        <f t="shared" si="376"/>
        <v>15.25</v>
      </c>
      <c r="K250" s="456">
        <f t="shared" si="377"/>
        <v>39.25</v>
      </c>
      <c r="L250" s="456"/>
      <c r="M250" s="225">
        <f t="shared" si="378"/>
        <v>0.38853503184713378</v>
      </c>
      <c r="N250" s="180">
        <f t="shared" si="379"/>
        <v>6.0844585987261137</v>
      </c>
      <c r="O250" s="180">
        <f t="shared" si="325"/>
        <v>1.53</v>
      </c>
      <c r="P250" s="225">
        <f t="shared" si="380"/>
        <v>0.40563057324840757</v>
      </c>
      <c r="Q250" s="225">
        <f t="shared" si="381"/>
        <v>15</v>
      </c>
      <c r="R250" s="225"/>
      <c r="S250" s="180">
        <f t="shared" si="382"/>
        <v>129.57562760136966</v>
      </c>
      <c r="T250" s="180">
        <f t="shared" si="383"/>
        <v>15</v>
      </c>
      <c r="U250" s="225">
        <f t="shared" si="384"/>
        <v>0.36461748633879776</v>
      </c>
      <c r="V250" s="225">
        <f t="shared" si="385"/>
        <v>0.60769581056466293</v>
      </c>
      <c r="W250" s="225">
        <f t="shared" si="386"/>
        <v>0.95637373465914166</v>
      </c>
      <c r="X250" s="205">
        <f t="shared" si="387"/>
        <v>350</v>
      </c>
      <c r="Y250" s="456">
        <f t="shared" si="354"/>
        <v>350</v>
      </c>
      <c r="AA250" s="225">
        <f t="shared" si="388"/>
        <v>0.66606005459508633</v>
      </c>
      <c r="AB250" s="181">
        <f t="shared" si="389"/>
        <v>1.7470427661510461</v>
      </c>
      <c r="AC250" s="181">
        <f t="shared" si="390"/>
        <v>0.20363619503544039</v>
      </c>
      <c r="AD250" s="181"/>
      <c r="AE250" s="181">
        <f t="shared" si="391"/>
        <v>0.76065573770491812</v>
      </c>
      <c r="AF250" s="565">
        <f t="shared" si="392"/>
        <v>924.79191438763382</v>
      </c>
      <c r="AG250" s="548">
        <f t="shared" si="393"/>
        <v>3.8603278688524589E-2</v>
      </c>
      <c r="AI250" s="181">
        <f t="shared" si="394"/>
        <v>0.47139610277799893</v>
      </c>
      <c r="AJ250" s="181">
        <f t="shared" si="395"/>
        <v>0.47139610277799893</v>
      </c>
      <c r="AK250" s="181">
        <f t="shared" si="396"/>
        <v>1.3343674835392585</v>
      </c>
      <c r="AM250" s="565">
        <f t="shared" si="397"/>
        <v>102.00000000000001</v>
      </c>
      <c r="AN250" s="474">
        <f t="shared" si="398"/>
        <v>350</v>
      </c>
      <c r="AP250">
        <f t="shared" si="399"/>
        <v>102.00000000000001</v>
      </c>
      <c r="AQ250">
        <f t="shared" si="400"/>
        <v>350</v>
      </c>
      <c r="AS250" s="6">
        <f t="shared" si="326"/>
        <v>2.8571428571428572</v>
      </c>
      <c r="AT250" s="6">
        <f t="shared" si="401"/>
        <v>0.78566017129666488</v>
      </c>
      <c r="AU250" s="6">
        <f t="shared" si="372"/>
        <v>2.0714826858461923</v>
      </c>
      <c r="AV250" s="6"/>
      <c r="AW250" s="181">
        <f t="shared" si="373"/>
        <v>0.27498105995383271</v>
      </c>
      <c r="AX250" s="181"/>
      <c r="CB250" s="583">
        <f t="shared" si="402"/>
        <v>-50</v>
      </c>
      <c r="CC250">
        <f t="shared" si="403"/>
        <v>-50</v>
      </c>
    </row>
    <row r="251" spans="5:81" x14ac:dyDescent="0.2">
      <c r="E251" s="178">
        <v>35</v>
      </c>
      <c r="F251" s="225">
        <f t="shared" si="404"/>
        <v>0.105</v>
      </c>
      <c r="G251" s="225"/>
      <c r="H251" s="225">
        <f t="shared" si="374"/>
        <v>1.575</v>
      </c>
      <c r="I251" s="561">
        <f t="shared" si="375"/>
        <v>24</v>
      </c>
      <c r="J251" s="456">
        <f t="shared" si="376"/>
        <v>15.25</v>
      </c>
      <c r="K251" s="456">
        <f t="shared" si="377"/>
        <v>39.25</v>
      </c>
      <c r="L251" s="456"/>
      <c r="M251" s="225">
        <f t="shared" si="378"/>
        <v>0.38853503184713378</v>
      </c>
      <c r="N251" s="180">
        <f t="shared" si="379"/>
        <v>6.0844585987261137</v>
      </c>
      <c r="O251" s="180">
        <f t="shared" si="325"/>
        <v>1.575</v>
      </c>
      <c r="P251" s="225">
        <f t="shared" si="380"/>
        <v>0.40563057324840757</v>
      </c>
      <c r="Q251" s="225">
        <f t="shared" si="381"/>
        <v>15</v>
      </c>
      <c r="R251" s="225"/>
      <c r="S251" s="180">
        <f t="shared" si="382"/>
        <v>125.19068851297418</v>
      </c>
      <c r="T251" s="180">
        <f t="shared" si="383"/>
        <v>15</v>
      </c>
      <c r="U251" s="225">
        <f t="shared" si="384"/>
        <v>0.37534153005464477</v>
      </c>
      <c r="V251" s="225">
        <f t="shared" si="385"/>
        <v>0.62556921675774135</v>
      </c>
      <c r="W251" s="225">
        <f t="shared" si="386"/>
        <v>0.98450237391382245</v>
      </c>
      <c r="X251" s="205">
        <f t="shared" si="387"/>
        <v>350</v>
      </c>
      <c r="Y251" s="456">
        <f t="shared" si="354"/>
        <v>350</v>
      </c>
      <c r="AA251" s="225">
        <f t="shared" si="388"/>
        <v>0.66606005459508633</v>
      </c>
      <c r="AB251" s="181">
        <f t="shared" si="389"/>
        <v>1.7470427661510461</v>
      </c>
      <c r="AC251" s="181">
        <f t="shared" si="390"/>
        <v>0.20363619503544039</v>
      </c>
      <c r="AD251" s="181"/>
      <c r="AE251" s="181">
        <f t="shared" si="391"/>
        <v>0.76065573770491812</v>
      </c>
      <c r="AF251" s="565">
        <f t="shared" si="392"/>
        <v>951.99167657550527</v>
      </c>
      <c r="AG251" s="548">
        <f t="shared" si="393"/>
        <v>3.8603278688524589E-2</v>
      </c>
      <c r="AI251" s="181">
        <f t="shared" si="394"/>
        <v>0.47827816174272475</v>
      </c>
      <c r="AJ251" s="181">
        <f t="shared" si="395"/>
        <v>0.47827816174272475</v>
      </c>
      <c r="AK251" s="181">
        <f t="shared" si="396"/>
        <v>1.3394653049946108</v>
      </c>
      <c r="AM251" s="565">
        <f t="shared" si="397"/>
        <v>105</v>
      </c>
      <c r="AN251" s="474">
        <f t="shared" si="398"/>
        <v>350</v>
      </c>
      <c r="AP251">
        <f t="shared" si="399"/>
        <v>105</v>
      </c>
      <c r="AQ251">
        <f t="shared" si="400"/>
        <v>350</v>
      </c>
      <c r="AS251" s="6">
        <f t="shared" si="326"/>
        <v>2.8571428571428572</v>
      </c>
      <c r="AT251" s="6">
        <f t="shared" si="401"/>
        <v>0.79713026957120792</v>
      </c>
      <c r="AU251" s="6">
        <f t="shared" si="372"/>
        <v>2.0600125875716495</v>
      </c>
      <c r="AV251" s="6"/>
      <c r="AW251" s="181">
        <f t="shared" si="373"/>
        <v>0.27899559434992277</v>
      </c>
      <c r="AX251" s="181"/>
      <c r="CB251" s="583">
        <f t="shared" si="402"/>
        <v>-50</v>
      </c>
      <c r="CC251">
        <f t="shared" si="403"/>
        <v>-50</v>
      </c>
    </row>
    <row r="252" spans="5:81" x14ac:dyDescent="0.2">
      <c r="E252" s="178">
        <v>36</v>
      </c>
      <c r="F252" s="225">
        <f t="shared" si="404"/>
        <v>0.108</v>
      </c>
      <c r="G252" s="225"/>
      <c r="H252" s="225">
        <f t="shared" si="374"/>
        <v>1.6199999999999999</v>
      </c>
      <c r="I252" s="561">
        <f t="shared" si="375"/>
        <v>24</v>
      </c>
      <c r="J252" s="456">
        <f t="shared" si="376"/>
        <v>15.25</v>
      </c>
      <c r="K252" s="456">
        <f t="shared" si="377"/>
        <v>39.25</v>
      </c>
      <c r="L252" s="456"/>
      <c r="M252" s="225">
        <f t="shared" si="378"/>
        <v>0.38853503184713378</v>
      </c>
      <c r="N252" s="180">
        <f t="shared" si="379"/>
        <v>6.0844585987261137</v>
      </c>
      <c r="O252" s="180">
        <f t="shared" si="325"/>
        <v>1.6199999999999999</v>
      </c>
      <c r="P252" s="225">
        <f t="shared" si="380"/>
        <v>0.40563057324840757</v>
      </c>
      <c r="Q252" s="225">
        <f t="shared" si="381"/>
        <v>15</v>
      </c>
      <c r="R252" s="225"/>
      <c r="S252" s="180">
        <f t="shared" si="382"/>
        <v>121.04946435692696</v>
      </c>
      <c r="T252" s="180">
        <f t="shared" si="383"/>
        <v>15</v>
      </c>
      <c r="U252" s="225">
        <f t="shared" si="384"/>
        <v>0.38606557377049172</v>
      </c>
      <c r="V252" s="225">
        <f t="shared" si="385"/>
        <v>0.64344262295081966</v>
      </c>
      <c r="W252" s="225">
        <f t="shared" si="386"/>
        <v>1.012631013168503</v>
      </c>
      <c r="X252" s="205">
        <f t="shared" si="387"/>
        <v>350</v>
      </c>
      <c r="Y252" s="456">
        <f t="shared" si="354"/>
        <v>350</v>
      </c>
      <c r="AA252" s="225">
        <f t="shared" si="388"/>
        <v>0.66606005459508633</v>
      </c>
      <c r="AB252" s="181">
        <f t="shared" si="389"/>
        <v>1.7470427661510461</v>
      </c>
      <c r="AC252" s="181">
        <f t="shared" si="390"/>
        <v>0.20363619503544039</v>
      </c>
      <c r="AD252" s="181"/>
      <c r="AE252" s="181">
        <f t="shared" si="391"/>
        <v>0.76065573770491812</v>
      </c>
      <c r="AF252" s="565">
        <f t="shared" si="392"/>
        <v>979.19143876337694</v>
      </c>
      <c r="AG252" s="548">
        <f t="shared" si="393"/>
        <v>3.8603278688524589E-2</v>
      </c>
      <c r="AI252" s="181">
        <f t="shared" si="394"/>
        <v>0.48506258800871693</v>
      </c>
      <c r="AJ252" s="181">
        <f t="shared" si="395"/>
        <v>0.48506258800871693</v>
      </c>
      <c r="AK252" s="181">
        <f t="shared" si="396"/>
        <v>1.3444908059323828</v>
      </c>
      <c r="AM252" s="565">
        <f t="shared" si="397"/>
        <v>108</v>
      </c>
      <c r="AN252" s="474">
        <f t="shared" si="398"/>
        <v>350</v>
      </c>
      <c r="AP252">
        <f t="shared" si="399"/>
        <v>108</v>
      </c>
      <c r="AQ252">
        <f t="shared" si="400"/>
        <v>350</v>
      </c>
      <c r="AS252" s="6">
        <f t="shared" si="326"/>
        <v>2.8571428571428572</v>
      </c>
      <c r="AT252" s="6">
        <f t="shared" si="401"/>
        <v>0.808437646681195</v>
      </c>
      <c r="AU252" s="6">
        <f t="shared" si="372"/>
        <v>2.0487052104616623</v>
      </c>
      <c r="AV252" s="6"/>
      <c r="AW252" s="181">
        <f t="shared" si="373"/>
        <v>0.28295317633841827</v>
      </c>
      <c r="AX252" s="181"/>
      <c r="CB252" s="583">
        <f t="shared" si="402"/>
        <v>-50</v>
      </c>
      <c r="CC252">
        <f t="shared" si="403"/>
        <v>-50</v>
      </c>
    </row>
    <row r="253" spans="5:81" x14ac:dyDescent="0.2">
      <c r="E253" s="178">
        <v>37</v>
      </c>
      <c r="F253" s="225">
        <f t="shared" si="404"/>
        <v>0.111</v>
      </c>
      <c r="G253" s="225"/>
      <c r="H253" s="225">
        <f t="shared" si="374"/>
        <v>1.665</v>
      </c>
      <c r="I253" s="561">
        <f t="shared" si="375"/>
        <v>24</v>
      </c>
      <c r="J253" s="456">
        <f t="shared" si="376"/>
        <v>15.25</v>
      </c>
      <c r="K253" s="456">
        <f t="shared" si="377"/>
        <v>39.25</v>
      </c>
      <c r="L253" s="456"/>
      <c r="M253" s="225">
        <f t="shared" si="378"/>
        <v>0.38853503184713378</v>
      </c>
      <c r="N253" s="180">
        <f t="shared" si="379"/>
        <v>6.0844585987261137</v>
      </c>
      <c r="O253" s="180">
        <f t="shared" si="325"/>
        <v>1.665</v>
      </c>
      <c r="P253" s="225">
        <f t="shared" si="380"/>
        <v>0.40563057324840757</v>
      </c>
      <c r="Q253" s="225">
        <f t="shared" si="381"/>
        <v>15</v>
      </c>
      <c r="R253" s="225"/>
      <c r="S253" s="180">
        <f t="shared" si="382"/>
        <v>117.13219615812322</v>
      </c>
      <c r="T253" s="180">
        <f t="shared" si="383"/>
        <v>15</v>
      </c>
      <c r="U253" s="225">
        <f t="shared" si="384"/>
        <v>0.39678961748633879</v>
      </c>
      <c r="V253" s="225">
        <f t="shared" si="385"/>
        <v>0.66131602914389798</v>
      </c>
      <c r="W253" s="225">
        <f t="shared" si="386"/>
        <v>1.0407596524231839</v>
      </c>
      <c r="X253" s="205">
        <f t="shared" si="387"/>
        <v>350</v>
      </c>
      <c r="Y253" s="456">
        <f t="shared" si="354"/>
        <v>350</v>
      </c>
      <c r="AA253" s="225">
        <f t="shared" si="388"/>
        <v>0.66606005459508633</v>
      </c>
      <c r="AB253" s="181">
        <f t="shared" si="389"/>
        <v>1.7470427661510461</v>
      </c>
      <c r="AC253" s="181">
        <f t="shared" si="390"/>
        <v>0.20363619503544039</v>
      </c>
      <c r="AD253" s="181"/>
      <c r="AE253" s="181">
        <f t="shared" si="391"/>
        <v>0.76065573770491812</v>
      </c>
      <c r="AF253" s="565">
        <f t="shared" si="392"/>
        <v>1006.3912009512485</v>
      </c>
      <c r="AG253" s="548">
        <f t="shared" si="393"/>
        <v>3.8603278688524589E-2</v>
      </c>
      <c r="AI253" s="181">
        <f t="shared" si="394"/>
        <v>0.49175342253148435</v>
      </c>
      <c r="AJ253" s="181">
        <f t="shared" si="395"/>
        <v>0.49175342253148435</v>
      </c>
      <c r="AK253" s="181">
        <f t="shared" si="396"/>
        <v>1.3494469796529514</v>
      </c>
      <c r="AM253" s="565">
        <f t="shared" si="397"/>
        <v>111</v>
      </c>
      <c r="AN253" s="474">
        <f t="shared" si="398"/>
        <v>350</v>
      </c>
      <c r="AP253">
        <f t="shared" si="399"/>
        <v>111</v>
      </c>
      <c r="AQ253">
        <f t="shared" si="400"/>
        <v>350</v>
      </c>
      <c r="AS253" s="6">
        <f t="shared" si="326"/>
        <v>2.8571428571428572</v>
      </c>
      <c r="AT253" s="6">
        <f t="shared" si="401"/>
        <v>0.81958903755247392</v>
      </c>
      <c r="AU253" s="6">
        <f t="shared" si="372"/>
        <v>2.0375538195903831</v>
      </c>
      <c r="AV253" s="6"/>
      <c r="AW253" s="181">
        <f t="shared" si="373"/>
        <v>0.28685616314336587</v>
      </c>
      <c r="AX253" s="181"/>
      <c r="CB253" s="583">
        <f t="shared" si="402"/>
        <v>-50</v>
      </c>
      <c r="CC253">
        <f t="shared" si="403"/>
        <v>-50</v>
      </c>
    </row>
    <row r="254" spans="5:81" x14ac:dyDescent="0.2">
      <c r="E254" s="178">
        <v>38</v>
      </c>
      <c r="F254" s="225">
        <f t="shared" si="404"/>
        <v>0.11399999999999999</v>
      </c>
      <c r="G254" s="225"/>
      <c r="H254" s="225">
        <f t="shared" si="374"/>
        <v>1.71</v>
      </c>
      <c r="I254" s="561">
        <f t="shared" si="375"/>
        <v>24</v>
      </c>
      <c r="J254" s="456">
        <f t="shared" si="376"/>
        <v>15.25</v>
      </c>
      <c r="K254" s="456">
        <f t="shared" si="377"/>
        <v>39.25</v>
      </c>
      <c r="L254" s="456"/>
      <c r="M254" s="225">
        <f t="shared" si="378"/>
        <v>0.38853503184713378</v>
      </c>
      <c r="N254" s="180">
        <f t="shared" si="379"/>
        <v>6.0844585987261137</v>
      </c>
      <c r="O254" s="180">
        <f t="shared" si="325"/>
        <v>1.71</v>
      </c>
      <c r="P254" s="225">
        <f t="shared" si="380"/>
        <v>0.40563057324840757</v>
      </c>
      <c r="Q254" s="225">
        <f t="shared" si="381"/>
        <v>15</v>
      </c>
      <c r="R254" s="225"/>
      <c r="S254" s="180">
        <f t="shared" si="382"/>
        <v>113.42120486896324</v>
      </c>
      <c r="T254" s="180">
        <f t="shared" si="383"/>
        <v>15</v>
      </c>
      <c r="U254" s="225">
        <f t="shared" si="384"/>
        <v>0.40751366120218574</v>
      </c>
      <c r="V254" s="225">
        <f t="shared" si="385"/>
        <v>0.6791894353369764</v>
      </c>
      <c r="W254" s="225">
        <f t="shared" si="386"/>
        <v>1.0688882916778644</v>
      </c>
      <c r="X254" s="205">
        <f t="shared" si="387"/>
        <v>350</v>
      </c>
      <c r="Y254" s="456">
        <f t="shared" si="354"/>
        <v>350</v>
      </c>
      <c r="AA254" s="225">
        <f t="shared" si="388"/>
        <v>0.66606005459508633</v>
      </c>
      <c r="AB254" s="181">
        <f t="shared" si="389"/>
        <v>1.7470427661510461</v>
      </c>
      <c r="AC254" s="181">
        <f t="shared" si="390"/>
        <v>0.20363619503544039</v>
      </c>
      <c r="AD254" s="181"/>
      <c r="AE254" s="181">
        <f t="shared" si="391"/>
        <v>0.76065573770491812</v>
      </c>
      <c r="AF254" s="565">
        <f t="shared" si="392"/>
        <v>1033.59096313912</v>
      </c>
      <c r="AG254" s="548">
        <f t="shared" si="393"/>
        <v>3.8603278688524589E-2</v>
      </c>
      <c r="AI254" s="181">
        <f t="shared" si="394"/>
        <v>0.49835443497288434</v>
      </c>
      <c r="AJ254" s="181">
        <f t="shared" si="395"/>
        <v>0.49835443497288434</v>
      </c>
      <c r="AK254" s="181">
        <f t="shared" si="396"/>
        <v>1.3543366184984329</v>
      </c>
      <c r="AM254" s="565">
        <f t="shared" si="397"/>
        <v>113.99999999999999</v>
      </c>
      <c r="AN254" s="474">
        <f t="shared" si="398"/>
        <v>350</v>
      </c>
      <c r="AP254">
        <f t="shared" si="399"/>
        <v>113.99999999999999</v>
      </c>
      <c r="AQ254">
        <f t="shared" si="400"/>
        <v>350</v>
      </c>
      <c r="AS254" s="6">
        <f t="shared" si="326"/>
        <v>2.8571428571428572</v>
      </c>
      <c r="AT254" s="6">
        <f t="shared" si="401"/>
        <v>0.83059072495480724</v>
      </c>
      <c r="AU254" s="6">
        <f t="shared" si="372"/>
        <v>2.02655213218805</v>
      </c>
      <c r="AV254" s="6"/>
      <c r="AW254" s="181">
        <f t="shared" si="373"/>
        <v>0.29070675373418253</v>
      </c>
      <c r="AX254" s="181"/>
      <c r="CB254" s="583">
        <f t="shared" si="402"/>
        <v>-50</v>
      </c>
      <c r="CC254">
        <f t="shared" si="403"/>
        <v>-50</v>
      </c>
    </row>
    <row r="255" spans="5:81" x14ac:dyDescent="0.2">
      <c r="E255" s="178">
        <v>39</v>
      </c>
      <c r="F255" s="225">
        <f t="shared" si="404"/>
        <v>0.11699999999999999</v>
      </c>
      <c r="G255" s="225"/>
      <c r="H255" s="225">
        <f t="shared" si="374"/>
        <v>1.7549999999999999</v>
      </c>
      <c r="I255" s="561">
        <f t="shared" si="375"/>
        <v>24</v>
      </c>
      <c r="J255" s="456">
        <f t="shared" si="376"/>
        <v>15.25</v>
      </c>
      <c r="K255" s="456">
        <f t="shared" si="377"/>
        <v>39.25</v>
      </c>
      <c r="L255" s="456"/>
      <c r="M255" s="225">
        <f t="shared" si="378"/>
        <v>0.38853503184713378</v>
      </c>
      <c r="N255" s="180">
        <f t="shared" si="379"/>
        <v>6.0844585987261137</v>
      </c>
      <c r="O255" s="180">
        <f t="shared" si="325"/>
        <v>1.7549999999999999</v>
      </c>
      <c r="P255" s="225">
        <f t="shared" si="380"/>
        <v>0.40563057324840757</v>
      </c>
      <c r="Q255" s="225">
        <f t="shared" si="381"/>
        <v>15</v>
      </c>
      <c r="R255" s="225"/>
      <c r="S255" s="180">
        <f t="shared" si="382"/>
        <v>109.90062471289329</v>
      </c>
      <c r="T255" s="180">
        <f t="shared" si="383"/>
        <v>15</v>
      </c>
      <c r="U255" s="225">
        <f t="shared" si="384"/>
        <v>0.41823770491803275</v>
      </c>
      <c r="V255" s="225">
        <f t="shared" si="385"/>
        <v>0.69706284153005449</v>
      </c>
      <c r="W255" s="225">
        <f t="shared" si="386"/>
        <v>1.097016930932545</v>
      </c>
      <c r="X255" s="205">
        <f t="shared" si="387"/>
        <v>350</v>
      </c>
      <c r="Y255" s="456">
        <f t="shared" si="354"/>
        <v>350</v>
      </c>
      <c r="AA255" s="225">
        <f t="shared" si="388"/>
        <v>0.66606005459508633</v>
      </c>
      <c r="AB255" s="181">
        <f t="shared" si="389"/>
        <v>1.7470427661510461</v>
      </c>
      <c r="AC255" s="181">
        <f t="shared" si="390"/>
        <v>0.20363619503544039</v>
      </c>
      <c r="AD255" s="181"/>
      <c r="AE255" s="181">
        <f t="shared" si="391"/>
        <v>0.76065573770491812</v>
      </c>
      <c r="AF255" s="565">
        <f t="shared" si="392"/>
        <v>1060.7907253269916</v>
      </c>
      <c r="AG255" s="548">
        <f t="shared" si="393"/>
        <v>3.8603278688524589E-2</v>
      </c>
      <c r="AI255" s="181">
        <f t="shared" si="394"/>
        <v>0.50486914853539733</v>
      </c>
      <c r="AJ255" s="181">
        <f t="shared" si="395"/>
        <v>0.50486914853539733</v>
      </c>
      <c r="AK255" s="181">
        <f t="shared" si="396"/>
        <v>1.3591623322484425</v>
      </c>
      <c r="AM255" s="565">
        <f t="shared" si="397"/>
        <v>117</v>
      </c>
      <c r="AN255" s="474">
        <f t="shared" si="398"/>
        <v>350</v>
      </c>
      <c r="AP255">
        <f t="shared" si="399"/>
        <v>117</v>
      </c>
      <c r="AQ255">
        <f t="shared" si="400"/>
        <v>350</v>
      </c>
      <c r="AS255" s="6">
        <f t="shared" si="326"/>
        <v>2.8571428571428572</v>
      </c>
      <c r="AT255" s="6">
        <f t="shared" si="401"/>
        <v>0.84144858089232888</v>
      </c>
      <c r="AU255" s="6">
        <f t="shared" si="372"/>
        <v>2.0156942762505281</v>
      </c>
      <c r="AV255" s="6"/>
      <c r="AW255" s="181">
        <f t="shared" si="373"/>
        <v>0.29450700331231511</v>
      </c>
      <c r="AX255" s="181"/>
      <c r="CB255" s="583">
        <f t="shared" si="402"/>
        <v>-50</v>
      </c>
      <c r="CC255">
        <f t="shared" si="403"/>
        <v>-50</v>
      </c>
    </row>
    <row r="256" spans="5:81" x14ac:dyDescent="0.2">
      <c r="E256" s="178">
        <v>40</v>
      </c>
      <c r="F256" s="225">
        <f t="shared" si="404"/>
        <v>0.12</v>
      </c>
      <c r="G256" s="225"/>
      <c r="H256" s="225">
        <f t="shared" si="374"/>
        <v>1.7999999999999998</v>
      </c>
      <c r="I256" s="561">
        <f t="shared" si="375"/>
        <v>24</v>
      </c>
      <c r="J256" s="456">
        <f t="shared" si="376"/>
        <v>15.25</v>
      </c>
      <c r="K256" s="456">
        <f t="shared" si="377"/>
        <v>39.25</v>
      </c>
      <c r="L256" s="456"/>
      <c r="M256" s="225">
        <f t="shared" si="378"/>
        <v>0.38853503184713378</v>
      </c>
      <c r="N256" s="180">
        <f t="shared" si="379"/>
        <v>6.0844585987261137</v>
      </c>
      <c r="O256" s="180">
        <f t="shared" si="325"/>
        <v>1.7999999999999998</v>
      </c>
      <c r="P256" s="225">
        <f t="shared" si="380"/>
        <v>0.40563057324840757</v>
      </c>
      <c r="Q256" s="225">
        <f t="shared" si="381"/>
        <v>15</v>
      </c>
      <c r="R256" s="225"/>
      <c r="S256" s="180">
        <f t="shared" si="382"/>
        <v>106.55617652644379</v>
      </c>
      <c r="T256" s="180">
        <f t="shared" si="383"/>
        <v>15</v>
      </c>
      <c r="U256" s="225">
        <f t="shared" si="384"/>
        <v>0.4289617486338797</v>
      </c>
      <c r="V256" s="225">
        <f t="shared" si="385"/>
        <v>0.71493624772313291</v>
      </c>
      <c r="W256" s="225">
        <f t="shared" si="386"/>
        <v>1.1251455701872255</v>
      </c>
      <c r="X256" s="205">
        <f t="shared" si="387"/>
        <v>350</v>
      </c>
      <c r="Y256" s="456">
        <f t="shared" si="354"/>
        <v>350</v>
      </c>
      <c r="AA256" s="225">
        <f t="shared" si="388"/>
        <v>0.66606005459508633</v>
      </c>
      <c r="AB256" s="181">
        <f t="shared" si="389"/>
        <v>1.7470427661510461</v>
      </c>
      <c r="AC256" s="181">
        <f t="shared" si="390"/>
        <v>0.20363619503544039</v>
      </c>
      <c r="AD256" s="181"/>
      <c r="AE256" s="181">
        <f t="shared" si="391"/>
        <v>0.76065573770491812</v>
      </c>
      <c r="AF256" s="565">
        <f t="shared" si="392"/>
        <v>1087.9904875148632</v>
      </c>
      <c r="AG256" s="548">
        <f t="shared" si="393"/>
        <v>3.8603278688524589E-2</v>
      </c>
      <c r="AI256" s="181">
        <f t="shared" si="394"/>
        <v>0.51130086194780799</v>
      </c>
      <c r="AJ256" s="181">
        <f t="shared" si="395"/>
        <v>0.51130086194780799</v>
      </c>
      <c r="AK256" s="181">
        <f t="shared" si="396"/>
        <v>1.3639265644057836</v>
      </c>
      <c r="AM256" s="565">
        <f t="shared" si="397"/>
        <v>120</v>
      </c>
      <c r="AN256" s="474">
        <f t="shared" si="398"/>
        <v>350</v>
      </c>
      <c r="AP256">
        <f t="shared" si="399"/>
        <v>120</v>
      </c>
      <c r="AQ256">
        <f t="shared" si="400"/>
        <v>350</v>
      </c>
      <c r="AS256" s="6">
        <f t="shared" si="326"/>
        <v>2.8571428571428572</v>
      </c>
      <c r="AT256" s="6">
        <f t="shared" si="401"/>
        <v>0.85216810324634684</v>
      </c>
      <c r="AU256" s="6">
        <f t="shared" si="372"/>
        <v>2.0049747538965104</v>
      </c>
      <c r="AV256" s="6"/>
      <c r="AW256" s="181">
        <f t="shared" si="373"/>
        <v>0.29825883613622139</v>
      </c>
      <c r="AX256" s="181"/>
      <c r="CB256" s="583">
        <f t="shared" si="402"/>
        <v>-50</v>
      </c>
      <c r="CC256">
        <f t="shared" si="403"/>
        <v>-50</v>
      </c>
    </row>
    <row r="257" spans="5:81" x14ac:dyDescent="0.2">
      <c r="E257" s="178">
        <v>41</v>
      </c>
      <c r="F257" s="225">
        <f t="shared" si="404"/>
        <v>0.12299999999999998</v>
      </c>
      <c r="G257" s="225"/>
      <c r="H257" s="225">
        <f t="shared" si="374"/>
        <v>1.8449999999999998</v>
      </c>
      <c r="I257" s="561">
        <f t="shared" si="375"/>
        <v>24</v>
      </c>
      <c r="J257" s="456">
        <f t="shared" si="376"/>
        <v>15.25</v>
      </c>
      <c r="K257" s="456">
        <f t="shared" si="377"/>
        <v>39.25</v>
      </c>
      <c r="L257" s="456"/>
      <c r="M257" s="225">
        <f t="shared" si="378"/>
        <v>0.38853503184713378</v>
      </c>
      <c r="N257" s="180">
        <f t="shared" si="379"/>
        <v>6.0844585987261137</v>
      </c>
      <c r="O257" s="180">
        <f t="shared" si="325"/>
        <v>1.8449999999999998</v>
      </c>
      <c r="P257" s="225">
        <f t="shared" si="380"/>
        <v>0.40563057324840757</v>
      </c>
      <c r="Q257" s="225">
        <f t="shared" si="381"/>
        <v>15</v>
      </c>
      <c r="R257" s="225"/>
      <c r="S257" s="180">
        <f t="shared" si="382"/>
        <v>103.37497427075344</v>
      </c>
      <c r="T257" s="180">
        <f t="shared" si="383"/>
        <v>15</v>
      </c>
      <c r="U257" s="225">
        <f t="shared" si="384"/>
        <v>0.43968579234972666</v>
      </c>
      <c r="V257" s="225">
        <f t="shared" si="385"/>
        <v>0.73280965391621111</v>
      </c>
      <c r="W257" s="225">
        <f t="shared" si="386"/>
        <v>1.1532742094419062</v>
      </c>
      <c r="X257" s="205">
        <f t="shared" si="387"/>
        <v>350</v>
      </c>
      <c r="Y257" s="456">
        <f t="shared" si="354"/>
        <v>350</v>
      </c>
      <c r="AA257" s="225">
        <f t="shared" si="388"/>
        <v>0.66606005459508633</v>
      </c>
      <c r="AB257" s="181">
        <f t="shared" si="389"/>
        <v>1.7470427661510461</v>
      </c>
      <c r="AC257" s="181">
        <f t="shared" si="390"/>
        <v>0.20363619503544039</v>
      </c>
      <c r="AD257" s="181"/>
      <c r="AE257" s="181">
        <f t="shared" si="391"/>
        <v>0.76065573770491812</v>
      </c>
      <c r="AF257" s="565">
        <f t="shared" si="392"/>
        <v>1115.1902497027347</v>
      </c>
      <c r="AG257" s="548">
        <f t="shared" si="393"/>
        <v>3.8603278688524589E-2</v>
      </c>
      <c r="AI257" s="181">
        <f t="shared" si="394"/>
        <v>0.51765266899175322</v>
      </c>
      <c r="AJ257" s="181">
        <f t="shared" si="395"/>
        <v>0.51765266899175322</v>
      </c>
      <c r="AK257" s="181">
        <f t="shared" si="396"/>
        <v>1.3686316066605579</v>
      </c>
      <c r="AM257" s="565">
        <f t="shared" si="397"/>
        <v>122.99999999999999</v>
      </c>
      <c r="AN257" s="474">
        <f t="shared" si="398"/>
        <v>350</v>
      </c>
      <c r="AP257">
        <f t="shared" si="399"/>
        <v>122.99999999999999</v>
      </c>
      <c r="AQ257">
        <f t="shared" si="400"/>
        <v>350</v>
      </c>
      <c r="AS257" s="6">
        <f t="shared" si="326"/>
        <v>2.8571428571428572</v>
      </c>
      <c r="AT257" s="6">
        <f t="shared" si="401"/>
        <v>0.86275444831958881</v>
      </c>
      <c r="AU257" s="6">
        <f t="shared" si="372"/>
        <v>1.9943884088232684</v>
      </c>
      <c r="AV257" s="6"/>
      <c r="AW257" s="181">
        <f t="shared" si="373"/>
        <v>0.30196405691185607</v>
      </c>
      <c r="AX257" s="181"/>
      <c r="CB257" s="583">
        <f t="shared" si="402"/>
        <v>-50</v>
      </c>
      <c r="CC257">
        <f t="shared" si="403"/>
        <v>-50</v>
      </c>
    </row>
    <row r="258" spans="5:81" x14ac:dyDescent="0.2">
      <c r="E258" s="178">
        <v>42</v>
      </c>
      <c r="F258" s="225">
        <f t="shared" si="404"/>
        <v>0.126</v>
      </c>
      <c r="G258" s="225"/>
      <c r="H258" s="225">
        <f t="shared" si="374"/>
        <v>1.8900000000000001</v>
      </c>
      <c r="I258" s="561">
        <f t="shared" si="375"/>
        <v>24</v>
      </c>
      <c r="J258" s="456">
        <f t="shared" si="376"/>
        <v>15.25</v>
      </c>
      <c r="K258" s="456">
        <f t="shared" si="377"/>
        <v>39.25</v>
      </c>
      <c r="L258" s="456"/>
      <c r="M258" s="225">
        <f t="shared" si="378"/>
        <v>0.38853503184713378</v>
      </c>
      <c r="N258" s="180">
        <f t="shared" si="379"/>
        <v>6.0844585987261137</v>
      </c>
      <c r="O258" s="180">
        <f t="shared" si="325"/>
        <v>1.8900000000000001</v>
      </c>
      <c r="P258" s="225">
        <f t="shared" si="380"/>
        <v>0.40563057324840757</v>
      </c>
      <c r="Q258" s="225">
        <f t="shared" si="381"/>
        <v>15</v>
      </c>
      <c r="R258" s="225"/>
      <c r="S258" s="180">
        <f t="shared" si="382"/>
        <v>100.34535918433238</v>
      </c>
      <c r="T258" s="180">
        <f t="shared" si="383"/>
        <v>15</v>
      </c>
      <c r="U258" s="225">
        <f t="shared" si="384"/>
        <v>0.45040983606557378</v>
      </c>
      <c r="V258" s="225">
        <f t="shared" si="385"/>
        <v>0.75068306010928965</v>
      </c>
      <c r="W258" s="225">
        <f t="shared" si="386"/>
        <v>1.1814028486965871</v>
      </c>
      <c r="X258" s="205">
        <f t="shared" si="387"/>
        <v>350</v>
      </c>
      <c r="Y258" s="456">
        <f t="shared" si="354"/>
        <v>350</v>
      </c>
      <c r="AA258" s="225">
        <f t="shared" si="388"/>
        <v>0.66606005459508633</v>
      </c>
      <c r="AB258" s="181">
        <f t="shared" si="389"/>
        <v>1.7470427661510461</v>
      </c>
      <c r="AC258" s="181">
        <f t="shared" si="390"/>
        <v>0.20363619503544039</v>
      </c>
      <c r="AD258" s="181"/>
      <c r="AE258" s="181">
        <f t="shared" si="391"/>
        <v>0.76065573770491812</v>
      </c>
      <c r="AF258" s="565">
        <f t="shared" si="392"/>
        <v>1142.3900118906065</v>
      </c>
      <c r="AG258" s="548">
        <f t="shared" si="393"/>
        <v>3.8603278688524589E-2</v>
      </c>
      <c r="AI258" s="181">
        <f t="shared" si="394"/>
        <v>0.52392747589718947</v>
      </c>
      <c r="AJ258" s="181">
        <f t="shared" si="395"/>
        <v>0.52392747589718947</v>
      </c>
      <c r="AK258" s="181">
        <f t="shared" si="396"/>
        <v>1.3732796117756958</v>
      </c>
      <c r="AM258" s="565">
        <f t="shared" si="397"/>
        <v>126</v>
      </c>
      <c r="AN258" s="474">
        <f t="shared" si="398"/>
        <v>350</v>
      </c>
      <c r="AP258">
        <f t="shared" si="399"/>
        <v>126</v>
      </c>
      <c r="AQ258">
        <f t="shared" si="400"/>
        <v>350</v>
      </c>
      <c r="AS258" s="6">
        <f t="shared" si="326"/>
        <v>2.8571428571428572</v>
      </c>
      <c r="AT258" s="6">
        <f t="shared" si="401"/>
        <v>0.87321245982864926</v>
      </c>
      <c r="AU258" s="6">
        <f t="shared" si="372"/>
        <v>1.9839303973142079</v>
      </c>
      <c r="AV258" s="6"/>
      <c r="AW258" s="181">
        <f t="shared" si="373"/>
        <v>0.30562436094002721</v>
      </c>
      <c r="AX258" s="181"/>
      <c r="CB258" s="583">
        <f t="shared" si="402"/>
        <v>-50</v>
      </c>
      <c r="CC258">
        <f t="shared" si="403"/>
        <v>-50</v>
      </c>
    </row>
    <row r="259" spans="5:81" x14ac:dyDescent="0.2">
      <c r="E259" s="178">
        <v>43</v>
      </c>
      <c r="F259" s="225">
        <f t="shared" si="404"/>
        <v>0.129</v>
      </c>
      <c r="G259" s="225"/>
      <c r="H259" s="225">
        <f t="shared" si="374"/>
        <v>1.9350000000000001</v>
      </c>
      <c r="I259" s="561">
        <f t="shared" si="375"/>
        <v>24</v>
      </c>
      <c r="J259" s="456">
        <f t="shared" si="376"/>
        <v>15.25</v>
      </c>
      <c r="K259" s="456">
        <f t="shared" si="377"/>
        <v>39.25</v>
      </c>
      <c r="L259" s="456"/>
      <c r="M259" s="225">
        <f t="shared" si="378"/>
        <v>0.38853503184713378</v>
      </c>
      <c r="N259" s="180">
        <f t="shared" si="379"/>
        <v>6.0844585987261137</v>
      </c>
      <c r="O259" s="180">
        <f t="shared" si="325"/>
        <v>1.9350000000000001</v>
      </c>
      <c r="P259" s="225">
        <f t="shared" si="380"/>
        <v>0.40563057324840757</v>
      </c>
      <c r="Q259" s="225">
        <f t="shared" si="381"/>
        <v>15</v>
      </c>
      <c r="R259" s="225"/>
      <c r="S259" s="180">
        <f t="shared" si="382"/>
        <v>97.456757077329797</v>
      </c>
      <c r="T259" s="180">
        <f t="shared" si="383"/>
        <v>15</v>
      </c>
      <c r="U259" s="225">
        <f t="shared" si="384"/>
        <v>0.46113387978142073</v>
      </c>
      <c r="V259" s="225">
        <f t="shared" si="385"/>
        <v>0.76855646630236785</v>
      </c>
      <c r="W259" s="225">
        <f t="shared" si="386"/>
        <v>1.2095314879512675</v>
      </c>
      <c r="X259" s="205">
        <f t="shared" si="387"/>
        <v>350</v>
      </c>
      <c r="Y259" s="456">
        <f t="shared" si="354"/>
        <v>350</v>
      </c>
      <c r="AA259" s="225">
        <f t="shared" si="388"/>
        <v>0.66606005459508633</v>
      </c>
      <c r="AB259" s="181">
        <f t="shared" si="389"/>
        <v>1.7470427661510461</v>
      </c>
      <c r="AC259" s="181">
        <f t="shared" si="390"/>
        <v>0.20363619503544039</v>
      </c>
      <c r="AD259" s="181"/>
      <c r="AE259" s="181">
        <f t="shared" si="391"/>
        <v>0.76065573770491812</v>
      </c>
      <c r="AF259" s="565">
        <f t="shared" si="392"/>
        <v>1169.5897740784781</v>
      </c>
      <c r="AG259" s="548">
        <f t="shared" si="393"/>
        <v>3.8603278688524589E-2</v>
      </c>
      <c r="AI259" s="181">
        <f t="shared" si="394"/>
        <v>0.53012801688433175</v>
      </c>
      <c r="AJ259" s="181">
        <f t="shared" si="395"/>
        <v>0.53012801688433175</v>
      </c>
      <c r="AK259" s="181">
        <f t="shared" si="396"/>
        <v>1.3778726050995049</v>
      </c>
      <c r="AM259" s="565">
        <f t="shared" si="397"/>
        <v>129</v>
      </c>
      <c r="AN259" s="474">
        <f t="shared" si="398"/>
        <v>350</v>
      </c>
      <c r="AP259">
        <f t="shared" si="399"/>
        <v>129</v>
      </c>
      <c r="AQ259">
        <f t="shared" si="400"/>
        <v>350</v>
      </c>
      <c r="AS259" s="6">
        <f t="shared" si="326"/>
        <v>2.8571428571428572</v>
      </c>
      <c r="AT259" s="6">
        <f t="shared" si="401"/>
        <v>0.8835466948072197</v>
      </c>
      <c r="AU259" s="6">
        <f t="shared" si="372"/>
        <v>1.9735961623356375</v>
      </c>
      <c r="AV259" s="6"/>
      <c r="AW259" s="181">
        <f t="shared" si="373"/>
        <v>0.30924134318252688</v>
      </c>
      <c r="AX259" s="181"/>
      <c r="CB259" s="583">
        <f t="shared" si="402"/>
        <v>-50</v>
      </c>
      <c r="CC259">
        <f t="shared" si="403"/>
        <v>-50</v>
      </c>
    </row>
    <row r="260" spans="5:81" x14ac:dyDescent="0.2">
      <c r="E260" s="178">
        <v>44</v>
      </c>
      <c r="F260" s="225">
        <f t="shared" si="404"/>
        <v>0.13200000000000001</v>
      </c>
      <c r="G260" s="225"/>
      <c r="H260" s="225">
        <f t="shared" si="374"/>
        <v>1.98</v>
      </c>
      <c r="I260" s="561">
        <f t="shared" si="375"/>
        <v>24</v>
      </c>
      <c r="J260" s="456">
        <f t="shared" si="376"/>
        <v>15.25</v>
      </c>
      <c r="K260" s="456">
        <f t="shared" si="377"/>
        <v>39.25</v>
      </c>
      <c r="L260" s="456"/>
      <c r="M260" s="225">
        <f t="shared" si="378"/>
        <v>0.38853503184713378</v>
      </c>
      <c r="N260" s="180">
        <f t="shared" si="379"/>
        <v>6.0844585987261137</v>
      </c>
      <c r="O260" s="180">
        <f t="shared" si="325"/>
        <v>1.98</v>
      </c>
      <c r="P260" s="225">
        <f t="shared" si="380"/>
        <v>0.40563057324840757</v>
      </c>
      <c r="Q260" s="225">
        <f t="shared" si="381"/>
        <v>15</v>
      </c>
      <c r="R260" s="225"/>
      <c r="S260" s="180">
        <f t="shared" si="382"/>
        <v>94.699555085703068</v>
      </c>
      <c r="T260" s="180">
        <f t="shared" si="383"/>
        <v>15</v>
      </c>
      <c r="U260" s="225">
        <f t="shared" si="384"/>
        <v>0.47185792349726768</v>
      </c>
      <c r="V260" s="225">
        <f t="shared" si="385"/>
        <v>0.78642987249544627</v>
      </c>
      <c r="W260" s="225">
        <f t="shared" si="386"/>
        <v>1.2376601272059482</v>
      </c>
      <c r="X260" s="205">
        <f t="shared" si="387"/>
        <v>350</v>
      </c>
      <c r="Y260" s="456">
        <f t="shared" si="354"/>
        <v>350</v>
      </c>
      <c r="AA260" s="225">
        <f t="shared" si="388"/>
        <v>0.66606005459508633</v>
      </c>
      <c r="AB260" s="181">
        <f t="shared" si="389"/>
        <v>1.7470427661510461</v>
      </c>
      <c r="AC260" s="181">
        <f t="shared" si="390"/>
        <v>0.20363619503544039</v>
      </c>
      <c r="AD260" s="181"/>
      <c r="AE260" s="181">
        <f t="shared" si="391"/>
        <v>0.76065573770491812</v>
      </c>
      <c r="AF260" s="565">
        <f t="shared" si="392"/>
        <v>1196.7895362663496</v>
      </c>
      <c r="AG260" s="548">
        <f t="shared" si="393"/>
        <v>3.8603278688524589E-2</v>
      </c>
      <c r="AI260" s="181">
        <f t="shared" si="394"/>
        <v>0.5362568680878862</v>
      </c>
      <c r="AJ260" s="181">
        <f t="shared" si="395"/>
        <v>0.5362568680878862</v>
      </c>
      <c r="AK260" s="181">
        <f t="shared" si="396"/>
        <v>1.3824124948799157</v>
      </c>
      <c r="AM260" s="565">
        <f t="shared" si="397"/>
        <v>132</v>
      </c>
      <c r="AN260" s="474">
        <f t="shared" si="398"/>
        <v>350</v>
      </c>
      <c r="AP260">
        <f t="shared" si="399"/>
        <v>132</v>
      </c>
      <c r="AQ260">
        <f t="shared" si="400"/>
        <v>350</v>
      </c>
      <c r="AS260" s="6">
        <f t="shared" si="326"/>
        <v>2.8571428571428572</v>
      </c>
      <c r="AT260" s="6">
        <f t="shared" si="401"/>
        <v>0.89376144681314384</v>
      </c>
      <c r="AU260" s="6">
        <f t="shared" si="372"/>
        <v>1.9633814103297134</v>
      </c>
      <c r="AV260" s="6"/>
      <c r="AW260" s="181">
        <f t="shared" si="373"/>
        <v>0.31281650638460035</v>
      </c>
      <c r="AX260" s="181"/>
      <c r="CB260" s="583">
        <f t="shared" si="402"/>
        <v>-50</v>
      </c>
      <c r="CC260">
        <f t="shared" si="403"/>
        <v>-50</v>
      </c>
    </row>
    <row r="261" spans="5:81" x14ac:dyDescent="0.2">
      <c r="E261" s="178">
        <v>45</v>
      </c>
      <c r="F261" s="225">
        <f t="shared" si="404"/>
        <v>0.13500000000000001</v>
      </c>
      <c r="G261" s="225"/>
      <c r="H261" s="225">
        <f t="shared" si="374"/>
        <v>2.0250000000000004</v>
      </c>
      <c r="I261" s="561">
        <f t="shared" si="375"/>
        <v>24</v>
      </c>
      <c r="J261" s="456">
        <f t="shared" si="376"/>
        <v>15.25</v>
      </c>
      <c r="K261" s="456">
        <f t="shared" si="377"/>
        <v>39.25</v>
      </c>
      <c r="L261" s="456"/>
      <c r="M261" s="225">
        <f t="shared" si="378"/>
        <v>0.38853503184713378</v>
      </c>
      <c r="N261" s="180">
        <f t="shared" si="379"/>
        <v>6.0844585987261137</v>
      </c>
      <c r="O261" s="180">
        <f t="shared" si="325"/>
        <v>2.0250000000000004</v>
      </c>
      <c r="P261" s="225">
        <f t="shared" si="380"/>
        <v>0.40563057324840757</v>
      </c>
      <c r="Q261" s="225">
        <f t="shared" si="381"/>
        <v>15</v>
      </c>
      <c r="R261" s="225"/>
      <c r="S261" s="180">
        <f t="shared" si="382"/>
        <v>92.064994858194126</v>
      </c>
      <c r="T261" s="180">
        <f t="shared" si="383"/>
        <v>15</v>
      </c>
      <c r="U261" s="225">
        <f t="shared" si="384"/>
        <v>0.4825819672131148</v>
      </c>
      <c r="V261" s="225">
        <f t="shared" si="385"/>
        <v>0.80430327868852469</v>
      </c>
      <c r="W261" s="225">
        <f t="shared" si="386"/>
        <v>1.2657887664606291</v>
      </c>
      <c r="X261" s="205">
        <f t="shared" si="387"/>
        <v>350</v>
      </c>
      <c r="Y261" s="456">
        <f t="shared" si="354"/>
        <v>350</v>
      </c>
      <c r="AA261" s="225">
        <f t="shared" si="388"/>
        <v>0.66606005459508633</v>
      </c>
      <c r="AB261" s="181">
        <f t="shared" si="389"/>
        <v>1.7470427661510461</v>
      </c>
      <c r="AC261" s="181">
        <f t="shared" si="390"/>
        <v>0.20363619503544039</v>
      </c>
      <c r="AD261" s="181"/>
      <c r="AE261" s="181">
        <f t="shared" si="391"/>
        <v>0.76065573770491812</v>
      </c>
      <c r="AF261" s="565">
        <f t="shared" si="392"/>
        <v>1223.9892984542212</v>
      </c>
      <c r="AG261" s="548">
        <f t="shared" si="393"/>
        <v>3.8603278688524589E-2</v>
      </c>
      <c r="AI261" s="181">
        <f t="shared" si="394"/>
        <v>0.54231646006473277</v>
      </c>
      <c r="AJ261" s="181">
        <f t="shared" si="395"/>
        <v>0.54231646006473277</v>
      </c>
      <c r="AK261" s="181">
        <f t="shared" si="396"/>
        <v>1.3869010815294316</v>
      </c>
      <c r="AM261" s="565">
        <f t="shared" si="397"/>
        <v>135</v>
      </c>
      <c r="AN261" s="474">
        <f t="shared" si="398"/>
        <v>350</v>
      </c>
      <c r="AP261">
        <f t="shared" si="399"/>
        <v>135</v>
      </c>
      <c r="AQ261">
        <f t="shared" si="400"/>
        <v>350</v>
      </c>
      <c r="AS261" s="6">
        <f t="shared" si="326"/>
        <v>2.8571428571428572</v>
      </c>
      <c r="AT261" s="6">
        <f t="shared" si="401"/>
        <v>0.90386076677455474</v>
      </c>
      <c r="AU261" s="6">
        <f t="shared" si="372"/>
        <v>1.9532820903683024</v>
      </c>
      <c r="AV261" s="6"/>
      <c r="AW261" s="181">
        <f t="shared" si="373"/>
        <v>0.31635126837109417</v>
      </c>
      <c r="AX261" s="181"/>
      <c r="CB261" s="583">
        <f t="shared" si="402"/>
        <v>-50</v>
      </c>
      <c r="CC261">
        <f t="shared" si="403"/>
        <v>-50</v>
      </c>
    </row>
    <row r="262" spans="5:81" x14ac:dyDescent="0.2">
      <c r="E262" s="178">
        <v>46</v>
      </c>
      <c r="F262" s="225">
        <f t="shared" si="404"/>
        <v>0.13800000000000001</v>
      </c>
      <c r="G262" s="225"/>
      <c r="H262" s="225">
        <f t="shared" si="374"/>
        <v>2.0700000000000003</v>
      </c>
      <c r="I262" s="561">
        <f t="shared" si="375"/>
        <v>24</v>
      </c>
      <c r="J262" s="456">
        <f t="shared" si="376"/>
        <v>15.25</v>
      </c>
      <c r="K262" s="456">
        <f t="shared" si="377"/>
        <v>39.25</v>
      </c>
      <c r="L262" s="456"/>
      <c r="M262" s="225">
        <f t="shared" si="378"/>
        <v>0.38853503184713378</v>
      </c>
      <c r="N262" s="180">
        <f t="shared" si="379"/>
        <v>6.0844585987261137</v>
      </c>
      <c r="O262" s="180">
        <f t="shared" ref="O262:O316" si="405">T262*F262</f>
        <v>2.0700000000000003</v>
      </c>
      <c r="P262" s="225">
        <f t="shared" si="380"/>
        <v>0.40563057324840757</v>
      </c>
      <c r="Q262" s="225">
        <f t="shared" si="381"/>
        <v>15</v>
      </c>
      <c r="R262" s="225"/>
      <c r="S262" s="180">
        <f t="shared" si="382"/>
        <v>89.545079675469538</v>
      </c>
      <c r="T262" s="180">
        <f t="shared" si="383"/>
        <v>15</v>
      </c>
      <c r="U262" s="225">
        <f t="shared" si="384"/>
        <v>0.49330601092896176</v>
      </c>
      <c r="V262" s="225">
        <f t="shared" si="385"/>
        <v>0.822176684881603</v>
      </c>
      <c r="W262" s="225">
        <f t="shared" si="386"/>
        <v>1.2939174057153096</v>
      </c>
      <c r="X262" s="205">
        <f t="shared" si="387"/>
        <v>350</v>
      </c>
      <c r="Y262" s="456">
        <f t="shared" si="354"/>
        <v>350</v>
      </c>
      <c r="AA262" s="225">
        <f t="shared" si="388"/>
        <v>0.66606005459508633</v>
      </c>
      <c r="AB262" s="181">
        <f t="shared" si="389"/>
        <v>1.7470427661510461</v>
      </c>
      <c r="AC262" s="181">
        <f t="shared" si="390"/>
        <v>0.20363619503544039</v>
      </c>
      <c r="AD262" s="181"/>
      <c r="AE262" s="181">
        <f t="shared" si="391"/>
        <v>0.76065573770491812</v>
      </c>
      <c r="AF262" s="565">
        <f t="shared" si="392"/>
        <v>1251.1890606420927</v>
      </c>
      <c r="AG262" s="548">
        <f t="shared" si="393"/>
        <v>3.8603278688524589E-2</v>
      </c>
      <c r="AI262" s="181">
        <f t="shared" si="394"/>
        <v>0.54830908905731002</v>
      </c>
      <c r="AJ262" s="181">
        <f t="shared" si="395"/>
        <v>0.54830908905731002</v>
      </c>
      <c r="AK262" s="181">
        <f t="shared" si="396"/>
        <v>1.3913400659683779</v>
      </c>
      <c r="AM262" s="565">
        <f t="shared" si="397"/>
        <v>138</v>
      </c>
      <c r="AN262" s="474">
        <f t="shared" si="398"/>
        <v>350</v>
      </c>
      <c r="AP262">
        <f t="shared" si="399"/>
        <v>138</v>
      </c>
      <c r="AQ262">
        <f t="shared" si="400"/>
        <v>350</v>
      </c>
      <c r="AS262" s="6">
        <f t="shared" si="326"/>
        <v>2.8571428571428572</v>
      </c>
      <c r="AT262" s="6">
        <f t="shared" si="401"/>
        <v>0.91384848176218347</v>
      </c>
      <c r="AU262" s="6">
        <f t="shared" si="372"/>
        <v>1.9432943753806737</v>
      </c>
      <c r="AV262" s="6"/>
      <c r="AW262" s="181">
        <f t="shared" si="373"/>
        <v>0.3198469686167642</v>
      </c>
      <c r="AX262" s="181"/>
      <c r="CB262" s="583">
        <f t="shared" si="402"/>
        <v>-50</v>
      </c>
      <c r="CC262">
        <f t="shared" si="403"/>
        <v>-50</v>
      </c>
    </row>
    <row r="263" spans="5:81" x14ac:dyDescent="0.2">
      <c r="E263" s="178">
        <v>47</v>
      </c>
      <c r="F263" s="225">
        <f t="shared" si="404"/>
        <v>0.14099999999999999</v>
      </c>
      <c r="G263" s="225"/>
      <c r="H263" s="225">
        <f t="shared" si="374"/>
        <v>2.1149999999999998</v>
      </c>
      <c r="I263" s="561">
        <f t="shared" si="375"/>
        <v>24</v>
      </c>
      <c r="J263" s="456">
        <f t="shared" si="376"/>
        <v>15.25</v>
      </c>
      <c r="K263" s="456">
        <f t="shared" si="377"/>
        <v>39.25</v>
      </c>
      <c r="L263" s="456"/>
      <c r="M263" s="225">
        <f t="shared" si="378"/>
        <v>0.38853503184713378</v>
      </c>
      <c r="N263" s="180">
        <f t="shared" si="379"/>
        <v>6.0844585987261137</v>
      </c>
      <c r="O263" s="180">
        <f t="shared" si="405"/>
        <v>2.1149999999999998</v>
      </c>
      <c r="P263" s="225">
        <f t="shared" si="380"/>
        <v>0.40563057324840757</v>
      </c>
      <c r="Q263" s="225">
        <f t="shared" si="381"/>
        <v>15</v>
      </c>
      <c r="R263" s="225"/>
      <c r="S263" s="180">
        <f t="shared" si="382"/>
        <v>87.132493426422286</v>
      </c>
      <c r="T263" s="180">
        <f t="shared" si="383"/>
        <v>15</v>
      </c>
      <c r="U263" s="225">
        <f t="shared" si="384"/>
        <v>0.50403005464480866</v>
      </c>
      <c r="V263" s="225">
        <f t="shared" si="385"/>
        <v>0.8400500910746812</v>
      </c>
      <c r="W263" s="225">
        <f t="shared" si="386"/>
        <v>1.32204604496999</v>
      </c>
      <c r="X263" s="205">
        <f t="shared" si="387"/>
        <v>350</v>
      </c>
      <c r="Y263" s="456">
        <f t="shared" si="354"/>
        <v>350</v>
      </c>
      <c r="AA263" s="225">
        <f t="shared" si="388"/>
        <v>0.66606005459508633</v>
      </c>
      <c r="AB263" s="181">
        <f t="shared" si="389"/>
        <v>1.7470427661510461</v>
      </c>
      <c r="AC263" s="181">
        <f t="shared" si="390"/>
        <v>0.20363619503544039</v>
      </c>
      <c r="AD263" s="181"/>
      <c r="AE263" s="181">
        <f t="shared" si="391"/>
        <v>0.76065573770491812</v>
      </c>
      <c r="AF263" s="565">
        <f t="shared" si="392"/>
        <v>1278.3888228299641</v>
      </c>
      <c r="AG263" s="548">
        <f t="shared" si="393"/>
        <v>3.8603278688524589E-2</v>
      </c>
      <c r="AI263" s="181">
        <f t="shared" si="394"/>
        <v>0.55423692716073281</v>
      </c>
      <c r="AJ263" s="181">
        <f t="shared" si="395"/>
        <v>0.55423692716073281</v>
      </c>
      <c r="AK263" s="181">
        <f t="shared" si="396"/>
        <v>1.3957310571560984</v>
      </c>
      <c r="AM263" s="565">
        <f t="shared" si="397"/>
        <v>141</v>
      </c>
      <c r="AN263" s="474">
        <f t="shared" si="398"/>
        <v>350</v>
      </c>
      <c r="AP263">
        <f t="shared" si="399"/>
        <v>141</v>
      </c>
      <c r="AQ263">
        <f t="shared" si="400"/>
        <v>350</v>
      </c>
      <c r="AS263" s="6">
        <f t="shared" ref="AS263:AS316" si="406">1/AN263*1000</f>
        <v>2.8571428571428572</v>
      </c>
      <c r="AT263" s="6">
        <f t="shared" si="401"/>
        <v>0.92372821193455479</v>
      </c>
      <c r="AU263" s="6">
        <f t="shared" si="372"/>
        <v>1.9334146452083023</v>
      </c>
      <c r="AV263" s="6"/>
      <c r="AW263" s="181">
        <f t="shared" si="373"/>
        <v>0.32330487417709419</v>
      </c>
      <c r="AX263" s="181"/>
      <c r="CB263" s="583">
        <f t="shared" si="402"/>
        <v>-50</v>
      </c>
      <c r="CC263">
        <f t="shared" si="403"/>
        <v>-50</v>
      </c>
    </row>
    <row r="264" spans="5:81" x14ac:dyDescent="0.2">
      <c r="E264" s="178">
        <v>48</v>
      </c>
      <c r="F264" s="225">
        <f t="shared" si="404"/>
        <v>0.14399999999999999</v>
      </c>
      <c r="G264" s="225"/>
      <c r="H264" s="225">
        <f t="shared" si="374"/>
        <v>2.1599999999999997</v>
      </c>
      <c r="I264" s="561">
        <f t="shared" si="375"/>
        <v>24</v>
      </c>
      <c r="J264" s="456">
        <f t="shared" si="376"/>
        <v>15.25</v>
      </c>
      <c r="K264" s="456">
        <f t="shared" si="377"/>
        <v>39.25</v>
      </c>
      <c r="L264" s="456"/>
      <c r="M264" s="225">
        <f t="shared" si="378"/>
        <v>0.38853503184713378</v>
      </c>
      <c r="N264" s="180">
        <f t="shared" si="379"/>
        <v>6.0844585987261137</v>
      </c>
      <c r="O264" s="180">
        <f t="shared" si="405"/>
        <v>2.1599999999999997</v>
      </c>
      <c r="P264" s="225">
        <f t="shared" si="380"/>
        <v>0.40563057324840757</v>
      </c>
      <c r="Q264" s="225">
        <f t="shared" si="381"/>
        <v>15</v>
      </c>
      <c r="R264" s="225"/>
      <c r="S264" s="180">
        <f t="shared" si="382"/>
        <v>84.820529712466595</v>
      </c>
      <c r="T264" s="180">
        <f t="shared" si="383"/>
        <v>15</v>
      </c>
      <c r="U264" s="225">
        <f t="shared" si="384"/>
        <v>0.51475409836065567</v>
      </c>
      <c r="V264" s="225">
        <f t="shared" si="385"/>
        <v>0.85792349726775963</v>
      </c>
      <c r="W264" s="225">
        <f t="shared" si="386"/>
        <v>1.3501746842246707</v>
      </c>
      <c r="X264" s="205">
        <f t="shared" si="387"/>
        <v>350</v>
      </c>
      <c r="Y264" s="456">
        <f t="shared" si="354"/>
        <v>350</v>
      </c>
      <c r="AA264" s="225">
        <f t="shared" si="388"/>
        <v>0.66606005459508633</v>
      </c>
      <c r="AB264" s="181">
        <f t="shared" si="389"/>
        <v>1.7470427661510461</v>
      </c>
      <c r="AC264" s="181">
        <f t="shared" si="390"/>
        <v>0.20363619503544039</v>
      </c>
      <c r="AD264" s="181"/>
      <c r="AE264" s="181">
        <f t="shared" si="391"/>
        <v>0.76065573770491812</v>
      </c>
      <c r="AF264" s="565">
        <f t="shared" si="392"/>
        <v>1305.5885850178356</v>
      </c>
      <c r="AG264" s="548">
        <f t="shared" si="393"/>
        <v>3.8603278688524589E-2</v>
      </c>
      <c r="AI264" s="181">
        <f t="shared" si="394"/>
        <v>0.56010203152129856</v>
      </c>
      <c r="AJ264" s="181">
        <f t="shared" si="395"/>
        <v>0.56010203152129856</v>
      </c>
      <c r="AK264" s="181">
        <f t="shared" si="396"/>
        <v>1.4000755789046655</v>
      </c>
      <c r="AM264" s="565">
        <f t="shared" si="397"/>
        <v>144</v>
      </c>
      <c r="AN264" s="474">
        <f t="shared" si="398"/>
        <v>350</v>
      </c>
      <c r="AP264">
        <f t="shared" si="399"/>
        <v>144</v>
      </c>
      <c r="AQ264">
        <f t="shared" si="400"/>
        <v>350</v>
      </c>
      <c r="AS264" s="6">
        <f t="shared" si="406"/>
        <v>2.8571428571428572</v>
      </c>
      <c r="AT264" s="6">
        <f t="shared" si="401"/>
        <v>0.93350338586883097</v>
      </c>
      <c r="AU264" s="6">
        <f t="shared" si="372"/>
        <v>1.9236394712740261</v>
      </c>
      <c r="AV264" s="6"/>
      <c r="AW264" s="181">
        <f t="shared" si="373"/>
        <v>0.32672618505409085</v>
      </c>
      <c r="AX264" s="181"/>
      <c r="CB264" s="583">
        <f t="shared" si="402"/>
        <v>-50</v>
      </c>
      <c r="CC264">
        <f t="shared" si="403"/>
        <v>-50</v>
      </c>
    </row>
    <row r="265" spans="5:81" x14ac:dyDescent="0.2">
      <c r="E265" s="178">
        <v>49</v>
      </c>
      <c r="F265" s="225">
        <f t="shared" si="404"/>
        <v>0.14699999999999999</v>
      </c>
      <c r="G265" s="225"/>
      <c r="H265" s="225">
        <f t="shared" si="374"/>
        <v>2.2050000000000001</v>
      </c>
      <c r="I265" s="561">
        <f t="shared" si="375"/>
        <v>24</v>
      </c>
      <c r="J265" s="456">
        <f t="shared" si="376"/>
        <v>15.25</v>
      </c>
      <c r="K265" s="456">
        <f t="shared" si="377"/>
        <v>39.25</v>
      </c>
      <c r="L265" s="456"/>
      <c r="M265" s="225">
        <f t="shared" si="378"/>
        <v>0.38853503184713378</v>
      </c>
      <c r="N265" s="180">
        <f t="shared" si="379"/>
        <v>6.0844585987261137</v>
      </c>
      <c r="O265" s="180">
        <f t="shared" si="405"/>
        <v>2.2050000000000001</v>
      </c>
      <c r="P265" s="225">
        <f t="shared" si="380"/>
        <v>0.40563057324840757</v>
      </c>
      <c r="Q265" s="225">
        <f t="shared" si="381"/>
        <v>15</v>
      </c>
      <c r="R265" s="225"/>
      <c r="S265" s="180">
        <f t="shared" si="382"/>
        <v>82.603029632971513</v>
      </c>
      <c r="T265" s="180">
        <f t="shared" si="383"/>
        <v>15</v>
      </c>
      <c r="U265" s="225">
        <f t="shared" si="384"/>
        <v>0.52547814207650267</v>
      </c>
      <c r="V265" s="225">
        <f t="shared" si="385"/>
        <v>0.87579690346083794</v>
      </c>
      <c r="W265" s="225">
        <f t="shared" si="386"/>
        <v>1.3783033234793516</v>
      </c>
      <c r="X265" s="205">
        <f t="shared" si="387"/>
        <v>350</v>
      </c>
      <c r="Y265" s="456">
        <f t="shared" si="354"/>
        <v>350</v>
      </c>
      <c r="AA265" s="225">
        <f t="shared" si="388"/>
        <v>0.66606005459508633</v>
      </c>
      <c r="AB265" s="181">
        <f t="shared" si="389"/>
        <v>1.7470427661510461</v>
      </c>
      <c r="AC265" s="181">
        <f t="shared" si="390"/>
        <v>0.20363619503544039</v>
      </c>
      <c r="AD265" s="181"/>
      <c r="AE265" s="181">
        <f t="shared" si="391"/>
        <v>0.76065573770491812</v>
      </c>
      <c r="AF265" s="565">
        <f t="shared" si="392"/>
        <v>1332.7883472057074</v>
      </c>
      <c r="AG265" s="548">
        <f t="shared" si="393"/>
        <v>3.8603278688524589E-2</v>
      </c>
      <c r="AI265" s="181">
        <f t="shared" si="394"/>
        <v>0.56590635267683642</v>
      </c>
      <c r="AJ265" s="181">
        <f t="shared" si="395"/>
        <v>0.56590635267683642</v>
      </c>
      <c r="AK265" s="181">
        <f t="shared" si="396"/>
        <v>1.4043750760569158</v>
      </c>
      <c r="AM265" s="565">
        <f t="shared" si="397"/>
        <v>147</v>
      </c>
      <c r="AN265" s="474">
        <f t="shared" si="398"/>
        <v>350</v>
      </c>
      <c r="AP265">
        <f t="shared" si="399"/>
        <v>147</v>
      </c>
      <c r="AQ265">
        <f t="shared" si="400"/>
        <v>350</v>
      </c>
      <c r="AS265" s="6">
        <f t="shared" si="406"/>
        <v>2.8571428571428572</v>
      </c>
      <c r="AT265" s="6">
        <f t="shared" si="401"/>
        <v>0.94317725446139411</v>
      </c>
      <c r="AU265" s="6">
        <f t="shared" si="372"/>
        <v>1.9139656026814631</v>
      </c>
      <c r="AV265" s="6"/>
      <c r="AW265" s="181">
        <f t="shared" si="373"/>
        <v>0.33011203906148795</v>
      </c>
      <c r="AX265" s="181"/>
      <c r="CB265" s="583">
        <f t="shared" si="402"/>
        <v>-50</v>
      </c>
      <c r="CC265">
        <f t="shared" si="403"/>
        <v>-50</v>
      </c>
    </row>
    <row r="266" spans="5:81" x14ac:dyDescent="0.2">
      <c r="E266" s="178">
        <v>50</v>
      </c>
      <c r="F266" s="225">
        <f t="shared" si="404"/>
        <v>0.15</v>
      </c>
      <c r="G266" s="225"/>
      <c r="H266" s="225">
        <f t="shared" si="374"/>
        <v>2.25</v>
      </c>
      <c r="I266" s="561">
        <f t="shared" si="375"/>
        <v>24</v>
      </c>
      <c r="J266" s="456">
        <f t="shared" si="376"/>
        <v>15.25</v>
      </c>
      <c r="K266" s="456">
        <f t="shared" si="377"/>
        <v>39.25</v>
      </c>
      <c r="L266" s="456"/>
      <c r="M266" s="225">
        <f t="shared" si="378"/>
        <v>0.38853503184713378</v>
      </c>
      <c r="N266" s="180">
        <f t="shared" si="379"/>
        <v>6.0844585987261137</v>
      </c>
      <c r="O266" s="180">
        <f t="shared" si="405"/>
        <v>2.25</v>
      </c>
      <c r="P266" s="225">
        <f t="shared" si="380"/>
        <v>0.40563057324840757</v>
      </c>
      <c r="Q266" s="225">
        <f t="shared" si="381"/>
        <v>15</v>
      </c>
      <c r="R266" s="225"/>
      <c r="S266" s="180">
        <f t="shared" si="382"/>
        <v>80.47432703647425</v>
      </c>
      <c r="T266" s="180">
        <f t="shared" si="383"/>
        <v>15</v>
      </c>
      <c r="U266" s="225">
        <f t="shared" si="384"/>
        <v>0.53620218579234968</v>
      </c>
      <c r="V266" s="225">
        <f t="shared" si="385"/>
        <v>0.89367030965391636</v>
      </c>
      <c r="W266" s="225">
        <f t="shared" si="386"/>
        <v>1.406431962734032</v>
      </c>
      <c r="X266" s="205">
        <f t="shared" si="387"/>
        <v>350</v>
      </c>
      <c r="Y266" s="456">
        <f t="shared" si="354"/>
        <v>350</v>
      </c>
      <c r="AA266" s="225">
        <f t="shared" si="388"/>
        <v>0.66606005459508633</v>
      </c>
      <c r="AB266" s="181">
        <f t="shared" si="389"/>
        <v>1.7470427661510461</v>
      </c>
      <c r="AC266" s="181">
        <f t="shared" si="390"/>
        <v>0.20363619503544039</v>
      </c>
      <c r="AD266" s="181"/>
      <c r="AE266" s="181">
        <f t="shared" si="391"/>
        <v>0.76065573770491812</v>
      </c>
      <c r="AF266" s="565">
        <f t="shared" si="392"/>
        <v>1359.988109393579</v>
      </c>
      <c r="AG266" s="548">
        <f t="shared" si="393"/>
        <v>3.8603278688524589E-2</v>
      </c>
      <c r="AI266" s="181">
        <f t="shared" si="394"/>
        <v>0.5716517421347671</v>
      </c>
      <c r="AJ266" s="181">
        <f t="shared" si="395"/>
        <v>0.5716517421347671</v>
      </c>
      <c r="AK266" s="181">
        <f t="shared" si="396"/>
        <v>1.4086309200998275</v>
      </c>
      <c r="AM266" s="565">
        <f t="shared" si="397"/>
        <v>150</v>
      </c>
      <c r="AN266" s="474">
        <f t="shared" si="398"/>
        <v>350</v>
      </c>
      <c r="AP266">
        <f t="shared" si="399"/>
        <v>150</v>
      </c>
      <c r="AQ266">
        <f t="shared" si="400"/>
        <v>350</v>
      </c>
      <c r="AS266" s="6">
        <f t="shared" si="406"/>
        <v>2.8571428571428572</v>
      </c>
      <c r="AT266" s="6">
        <f t="shared" si="401"/>
        <v>0.95275290355794517</v>
      </c>
      <c r="AU266" s="6">
        <f t="shared" si="372"/>
        <v>1.904389953584912</v>
      </c>
      <c r="AV266" s="6"/>
      <c r="AW266" s="181">
        <f t="shared" si="373"/>
        <v>0.33346351624528081</v>
      </c>
      <c r="AX266" s="181"/>
      <c r="CB266" s="583">
        <f t="shared" si="402"/>
        <v>-50</v>
      </c>
      <c r="CC266">
        <f t="shared" si="403"/>
        <v>-50</v>
      </c>
    </row>
    <row r="267" spans="5:81" x14ac:dyDescent="0.2">
      <c r="E267" s="178">
        <v>51</v>
      </c>
      <c r="F267" s="225">
        <f t="shared" si="404"/>
        <v>0.153</v>
      </c>
      <c r="G267" s="225"/>
      <c r="H267" s="225">
        <f t="shared" si="374"/>
        <v>2.2949999999999999</v>
      </c>
      <c r="I267" s="561">
        <f t="shared" si="375"/>
        <v>24</v>
      </c>
      <c r="J267" s="456">
        <f t="shared" si="376"/>
        <v>15.25</v>
      </c>
      <c r="K267" s="456">
        <f t="shared" si="377"/>
        <v>39.25</v>
      </c>
      <c r="L267" s="456"/>
      <c r="M267" s="225">
        <f t="shared" si="378"/>
        <v>0.38853503184713378</v>
      </c>
      <c r="N267" s="180">
        <f t="shared" si="379"/>
        <v>6.0844585987261137</v>
      </c>
      <c r="O267" s="180">
        <f t="shared" si="405"/>
        <v>2.2949999999999999</v>
      </c>
      <c r="P267" s="225">
        <f t="shared" si="380"/>
        <v>0.40563057324840757</v>
      </c>
      <c r="Q267" s="225">
        <f t="shared" si="381"/>
        <v>15</v>
      </c>
      <c r="R267" s="225"/>
      <c r="S267" s="180">
        <f t="shared" si="382"/>
        <v>78.429200212960041</v>
      </c>
      <c r="T267" s="180">
        <f t="shared" si="383"/>
        <v>15</v>
      </c>
      <c r="U267" s="225">
        <f t="shared" si="384"/>
        <v>0.54692622950819669</v>
      </c>
      <c r="V267" s="225">
        <f t="shared" si="385"/>
        <v>0.91154371584699445</v>
      </c>
      <c r="W267" s="225">
        <f t="shared" si="386"/>
        <v>1.4345606019887127</v>
      </c>
      <c r="X267" s="205">
        <f t="shared" si="387"/>
        <v>350</v>
      </c>
      <c r="Y267" s="456">
        <f t="shared" si="354"/>
        <v>350</v>
      </c>
      <c r="AA267" s="225">
        <f t="shared" si="388"/>
        <v>0.66606005459508633</v>
      </c>
      <c r="AB267" s="181">
        <f t="shared" si="389"/>
        <v>1.7470427661510461</v>
      </c>
      <c r="AC267" s="181">
        <f t="shared" si="390"/>
        <v>0.20363619503544039</v>
      </c>
      <c r="AD267" s="181"/>
      <c r="AE267" s="181">
        <f t="shared" si="391"/>
        <v>0.76065573770491812</v>
      </c>
      <c r="AF267" s="565">
        <f t="shared" si="392"/>
        <v>1387.1878715814505</v>
      </c>
      <c r="AG267" s="548">
        <f t="shared" si="393"/>
        <v>3.8603278688524589E-2</v>
      </c>
      <c r="AI267" s="181">
        <f t="shared" si="394"/>
        <v>0.57733995927133652</v>
      </c>
      <c r="AJ267" s="181">
        <f t="shared" si="395"/>
        <v>0.57733995927133652</v>
      </c>
      <c r="AK267" s="181">
        <f t="shared" si="396"/>
        <v>1.412844414275064</v>
      </c>
      <c r="AM267" s="565">
        <f t="shared" si="397"/>
        <v>153</v>
      </c>
      <c r="AN267" s="474">
        <f t="shared" si="398"/>
        <v>350</v>
      </c>
      <c r="AP267">
        <f t="shared" si="399"/>
        <v>153</v>
      </c>
      <c r="AQ267">
        <f t="shared" si="400"/>
        <v>350</v>
      </c>
      <c r="AS267" s="6">
        <f t="shared" si="406"/>
        <v>2.8571428571428572</v>
      </c>
      <c r="AT267" s="6">
        <f t="shared" si="401"/>
        <v>0.96223326545222765</v>
      </c>
      <c r="AU267" s="6">
        <f t="shared" si="372"/>
        <v>1.8949095916906296</v>
      </c>
      <c r="AV267" s="6"/>
      <c r="AW267" s="181">
        <f t="shared" si="373"/>
        <v>0.33678164290827967</v>
      </c>
      <c r="AX267" s="181"/>
      <c r="CB267" s="583">
        <f t="shared" si="402"/>
        <v>-50</v>
      </c>
      <c r="CC267">
        <f t="shared" si="403"/>
        <v>-50</v>
      </c>
    </row>
    <row r="268" spans="5:81" x14ac:dyDescent="0.2">
      <c r="E268" s="178">
        <v>52</v>
      </c>
      <c r="F268" s="225">
        <f t="shared" si="404"/>
        <v>0.156</v>
      </c>
      <c r="G268" s="225"/>
      <c r="H268" s="225">
        <f t="shared" si="374"/>
        <v>2.34</v>
      </c>
      <c r="I268" s="561">
        <f t="shared" si="375"/>
        <v>24</v>
      </c>
      <c r="J268" s="456">
        <f t="shared" si="376"/>
        <v>15.25</v>
      </c>
      <c r="K268" s="456">
        <f t="shared" si="377"/>
        <v>39.25</v>
      </c>
      <c r="L268" s="456"/>
      <c r="M268" s="225">
        <f t="shared" si="378"/>
        <v>0.38853503184713378</v>
      </c>
      <c r="N268" s="180">
        <f t="shared" si="379"/>
        <v>6.0844585987261137</v>
      </c>
      <c r="O268" s="180">
        <f t="shared" si="405"/>
        <v>2.34</v>
      </c>
      <c r="P268" s="225">
        <f t="shared" si="380"/>
        <v>0.40563057324840757</v>
      </c>
      <c r="Q268" s="225">
        <f t="shared" si="381"/>
        <v>15</v>
      </c>
      <c r="R268" s="225"/>
      <c r="S268" s="180">
        <f t="shared" si="382"/>
        <v>76.462829160142732</v>
      </c>
      <c r="T268" s="180">
        <f t="shared" si="383"/>
        <v>15</v>
      </c>
      <c r="U268" s="225">
        <f t="shared" si="384"/>
        <v>0.55765027322404359</v>
      </c>
      <c r="V268" s="225">
        <f t="shared" si="385"/>
        <v>0.92941712204007276</v>
      </c>
      <c r="W268" s="225">
        <f t="shared" si="386"/>
        <v>1.4626892412433929</v>
      </c>
      <c r="X268" s="205">
        <f t="shared" si="387"/>
        <v>350</v>
      </c>
      <c r="Y268" s="456">
        <f t="shared" si="354"/>
        <v>350</v>
      </c>
      <c r="AA268" s="225">
        <f t="shared" si="388"/>
        <v>0.66606005459508633</v>
      </c>
      <c r="AB268" s="181">
        <f t="shared" si="389"/>
        <v>1.7470427661510461</v>
      </c>
      <c r="AC268" s="181">
        <f t="shared" si="390"/>
        <v>0.20363619503544039</v>
      </c>
      <c r="AD268" s="181"/>
      <c r="AE268" s="181">
        <f t="shared" si="391"/>
        <v>0.76065573770491812</v>
      </c>
      <c r="AF268" s="565">
        <f t="shared" si="392"/>
        <v>1414.3876337693223</v>
      </c>
      <c r="AG268" s="548">
        <f t="shared" si="393"/>
        <v>3.8603278688524589E-2</v>
      </c>
      <c r="AI268" s="181">
        <f t="shared" si="394"/>
        <v>0.58297267762489768</v>
      </c>
      <c r="AJ268" s="181">
        <f t="shared" si="395"/>
        <v>0.58297267762489768</v>
      </c>
      <c r="AK268" s="181">
        <f t="shared" si="396"/>
        <v>1.417016798240665</v>
      </c>
      <c r="AM268" s="565">
        <f t="shared" si="397"/>
        <v>156</v>
      </c>
      <c r="AN268" s="474">
        <f t="shared" si="398"/>
        <v>350</v>
      </c>
      <c r="AP268">
        <f t="shared" si="399"/>
        <v>156</v>
      </c>
      <c r="AQ268">
        <f t="shared" si="400"/>
        <v>350</v>
      </c>
      <c r="AS268" s="6">
        <f t="shared" si="406"/>
        <v>2.8571428571428572</v>
      </c>
      <c r="AT268" s="6">
        <f t="shared" si="401"/>
        <v>0.9716211293748297</v>
      </c>
      <c r="AU268" s="6">
        <f t="shared" si="372"/>
        <v>1.8855217277680274</v>
      </c>
      <c r="AV268" s="6"/>
      <c r="AW268" s="181">
        <f t="shared" si="373"/>
        <v>0.3400673952811904</v>
      </c>
      <c r="AX268" s="181"/>
      <c r="CB268" s="583">
        <f t="shared" si="402"/>
        <v>-50</v>
      </c>
      <c r="CC268">
        <f t="shared" si="403"/>
        <v>-50</v>
      </c>
    </row>
    <row r="269" spans="5:81" x14ac:dyDescent="0.2">
      <c r="E269" s="178">
        <v>53</v>
      </c>
      <c r="F269" s="225">
        <f t="shared" si="404"/>
        <v>0.159</v>
      </c>
      <c r="G269" s="225"/>
      <c r="H269" s="225">
        <f t="shared" si="374"/>
        <v>2.3850000000000002</v>
      </c>
      <c r="I269" s="561">
        <f t="shared" si="375"/>
        <v>24</v>
      </c>
      <c r="J269" s="456">
        <f t="shared" si="376"/>
        <v>15.25</v>
      </c>
      <c r="K269" s="456">
        <f t="shared" si="377"/>
        <v>39.25</v>
      </c>
      <c r="L269" s="456"/>
      <c r="M269" s="225">
        <f t="shared" si="378"/>
        <v>0.38853503184713378</v>
      </c>
      <c r="N269" s="180">
        <f t="shared" si="379"/>
        <v>6.0844585987261137</v>
      </c>
      <c r="O269" s="180">
        <f t="shared" si="405"/>
        <v>2.3850000000000002</v>
      </c>
      <c r="P269" s="225">
        <f t="shared" si="380"/>
        <v>0.40563057324840757</v>
      </c>
      <c r="Q269" s="225">
        <f t="shared" si="381"/>
        <v>15</v>
      </c>
      <c r="R269" s="225"/>
      <c r="S269" s="180">
        <f t="shared" si="382"/>
        <v>74.570757687559208</v>
      </c>
      <c r="T269" s="180">
        <f t="shared" si="383"/>
        <v>15</v>
      </c>
      <c r="U269" s="225">
        <f t="shared" si="384"/>
        <v>0.56837431693989071</v>
      </c>
      <c r="V269" s="225">
        <f t="shared" si="385"/>
        <v>0.94729052823315119</v>
      </c>
      <c r="W269" s="225">
        <f t="shared" si="386"/>
        <v>1.4908178804980741</v>
      </c>
      <c r="X269" s="205">
        <f t="shared" si="387"/>
        <v>350</v>
      </c>
      <c r="Y269" s="456">
        <f t="shared" si="354"/>
        <v>350</v>
      </c>
      <c r="AA269" s="225">
        <f t="shared" si="388"/>
        <v>0.66606005459508633</v>
      </c>
      <c r="AB269" s="181">
        <f t="shared" si="389"/>
        <v>1.7470427661510461</v>
      </c>
      <c r="AC269" s="181">
        <f t="shared" si="390"/>
        <v>0.20363619503544039</v>
      </c>
      <c r="AD269" s="181"/>
      <c r="AE269" s="181">
        <f t="shared" si="391"/>
        <v>0.76065573770491812</v>
      </c>
      <c r="AF269" s="565">
        <f t="shared" si="392"/>
        <v>1441.5873959571938</v>
      </c>
      <c r="AG269" s="548">
        <f t="shared" si="393"/>
        <v>3.8603278688524589E-2</v>
      </c>
      <c r="AI269" s="181">
        <f t="shared" si="394"/>
        <v>0.58855149064704371</v>
      </c>
      <c r="AJ269" s="181">
        <f t="shared" si="395"/>
        <v>0.58855149064704371</v>
      </c>
      <c r="AK269" s="181">
        <f t="shared" si="396"/>
        <v>1.4211492523311435</v>
      </c>
      <c r="AM269" s="565">
        <f t="shared" si="397"/>
        <v>159</v>
      </c>
      <c r="AN269" s="474">
        <f t="shared" si="398"/>
        <v>350</v>
      </c>
      <c r="AP269">
        <f t="shared" si="399"/>
        <v>159</v>
      </c>
      <c r="AQ269">
        <f t="shared" si="400"/>
        <v>350</v>
      </c>
      <c r="AS269" s="6">
        <f t="shared" si="406"/>
        <v>2.8571428571428572</v>
      </c>
      <c r="AT269" s="6">
        <f t="shared" si="401"/>
        <v>0.9809191510784061</v>
      </c>
      <c r="AU269" s="6">
        <f t="shared" si="372"/>
        <v>1.8762237060644511</v>
      </c>
      <c r="AV269" s="6"/>
      <c r="AW269" s="181">
        <f t="shared" si="373"/>
        <v>0.34332170287744213</v>
      </c>
      <c r="AX269" s="181"/>
      <c r="CB269" s="583">
        <f t="shared" si="402"/>
        <v>-50</v>
      </c>
      <c r="CC269">
        <f t="shared" si="403"/>
        <v>-50</v>
      </c>
    </row>
    <row r="270" spans="5:81" x14ac:dyDescent="0.2">
      <c r="E270" s="178">
        <v>54</v>
      </c>
      <c r="F270" s="225">
        <f t="shared" si="404"/>
        <v>0.16200000000000001</v>
      </c>
      <c r="G270" s="225"/>
      <c r="H270" s="225">
        <f t="shared" si="374"/>
        <v>2.4300000000000002</v>
      </c>
      <c r="I270" s="561">
        <f t="shared" si="375"/>
        <v>24</v>
      </c>
      <c r="J270" s="456">
        <f t="shared" si="376"/>
        <v>15.25</v>
      </c>
      <c r="K270" s="456">
        <f t="shared" si="377"/>
        <v>39.25</v>
      </c>
      <c r="L270" s="456"/>
      <c r="M270" s="225">
        <f t="shared" si="378"/>
        <v>0.38853503184713378</v>
      </c>
      <c r="N270" s="180">
        <f t="shared" si="379"/>
        <v>6.0844585987261137</v>
      </c>
      <c r="O270" s="180">
        <f t="shared" si="405"/>
        <v>2.4300000000000002</v>
      </c>
      <c r="P270" s="225">
        <f t="shared" si="380"/>
        <v>0.40563057324840757</v>
      </c>
      <c r="Q270" s="225">
        <f t="shared" si="381"/>
        <v>15</v>
      </c>
      <c r="R270" s="225"/>
      <c r="S270" s="180">
        <f t="shared" si="382"/>
        <v>72.748859731353988</v>
      </c>
      <c r="T270" s="180">
        <f t="shared" si="383"/>
        <v>15</v>
      </c>
      <c r="U270" s="225">
        <f t="shared" si="384"/>
        <v>0.57909836065573772</v>
      </c>
      <c r="V270" s="225">
        <f t="shared" si="385"/>
        <v>0.96516393442622961</v>
      </c>
      <c r="W270" s="225">
        <f t="shared" si="386"/>
        <v>1.5189465197527547</v>
      </c>
      <c r="X270" s="205">
        <f t="shared" si="387"/>
        <v>350</v>
      </c>
      <c r="Y270" s="456">
        <f t="shared" si="354"/>
        <v>350</v>
      </c>
      <c r="AA270" s="225">
        <f t="shared" si="388"/>
        <v>0.66606005459508633</v>
      </c>
      <c r="AB270" s="181">
        <f t="shared" si="389"/>
        <v>1.7470427661510461</v>
      </c>
      <c r="AC270" s="181">
        <f t="shared" si="390"/>
        <v>0.20363619503544039</v>
      </c>
      <c r="AD270" s="181"/>
      <c r="AE270" s="181">
        <f t="shared" si="391"/>
        <v>0.76065573770491812</v>
      </c>
      <c r="AF270" s="565">
        <f t="shared" si="392"/>
        <v>1468.7871581450654</v>
      </c>
      <c r="AG270" s="548">
        <f t="shared" si="393"/>
        <v>3.8603278688524589E-2</v>
      </c>
      <c r="AI270" s="181">
        <f t="shared" si="394"/>
        <v>0.59407791696760737</v>
      </c>
      <c r="AJ270" s="181">
        <f t="shared" si="395"/>
        <v>0.59407791696760737</v>
      </c>
      <c r="AK270" s="181">
        <f t="shared" si="396"/>
        <v>1.425242901457487</v>
      </c>
      <c r="AM270" s="565">
        <f t="shared" si="397"/>
        <v>162</v>
      </c>
      <c r="AN270" s="474">
        <f t="shared" si="398"/>
        <v>350</v>
      </c>
      <c r="AP270">
        <f t="shared" si="399"/>
        <v>162</v>
      </c>
      <c r="AQ270">
        <f t="shared" si="400"/>
        <v>350</v>
      </c>
      <c r="AS270" s="6">
        <f t="shared" si="406"/>
        <v>2.8571428571428572</v>
      </c>
      <c r="AT270" s="6">
        <f t="shared" si="401"/>
        <v>0.99012986161267891</v>
      </c>
      <c r="AU270" s="6">
        <f t="shared" si="372"/>
        <v>1.8670129955301782</v>
      </c>
      <c r="AV270" s="6"/>
      <c r="AW270" s="181">
        <f t="shared" si="373"/>
        <v>0.34654545156443761</v>
      </c>
      <c r="AX270" s="181"/>
      <c r="CB270" s="583">
        <f t="shared" si="402"/>
        <v>-50</v>
      </c>
      <c r="CC270">
        <f t="shared" si="403"/>
        <v>-50</v>
      </c>
    </row>
    <row r="271" spans="5:81" x14ac:dyDescent="0.2">
      <c r="E271" s="178">
        <v>55</v>
      </c>
      <c r="F271" s="225">
        <f t="shared" si="404"/>
        <v>0.16500000000000001</v>
      </c>
      <c r="G271" s="225"/>
      <c r="H271" s="225">
        <f t="shared" si="374"/>
        <v>2.4750000000000001</v>
      </c>
      <c r="I271" s="561">
        <f t="shared" si="375"/>
        <v>24</v>
      </c>
      <c r="J271" s="456">
        <f t="shared" si="376"/>
        <v>15.25</v>
      </c>
      <c r="K271" s="456">
        <f t="shared" si="377"/>
        <v>39.25</v>
      </c>
      <c r="L271" s="456"/>
      <c r="M271" s="225">
        <f t="shared" si="378"/>
        <v>0.38853503184713378</v>
      </c>
      <c r="N271" s="180">
        <f t="shared" si="379"/>
        <v>6.0844585987261137</v>
      </c>
      <c r="O271" s="180">
        <f t="shared" si="405"/>
        <v>2.4750000000000001</v>
      </c>
      <c r="P271" s="225">
        <f t="shared" si="380"/>
        <v>0.40563057324840757</v>
      </c>
      <c r="Q271" s="225">
        <f t="shared" si="381"/>
        <v>15</v>
      </c>
      <c r="R271" s="225"/>
      <c r="S271" s="180">
        <f t="shared" si="382"/>
        <v>70.993309343850029</v>
      </c>
      <c r="T271" s="180">
        <f t="shared" si="383"/>
        <v>15</v>
      </c>
      <c r="U271" s="225">
        <f t="shared" si="384"/>
        <v>0.58982240437158462</v>
      </c>
      <c r="V271" s="225">
        <f t="shared" si="385"/>
        <v>0.98303734061930781</v>
      </c>
      <c r="W271" s="225">
        <f t="shared" si="386"/>
        <v>1.5470751590074352</v>
      </c>
      <c r="X271" s="205">
        <f t="shared" si="387"/>
        <v>350</v>
      </c>
      <c r="Y271" s="456">
        <f t="shared" si="354"/>
        <v>350</v>
      </c>
      <c r="AA271" s="225">
        <f t="shared" si="388"/>
        <v>0.66606005459508633</v>
      </c>
      <c r="AB271" s="181">
        <f t="shared" si="389"/>
        <v>1.7470427661510461</v>
      </c>
      <c r="AC271" s="181">
        <f t="shared" si="390"/>
        <v>0.20363619503544039</v>
      </c>
      <c r="AD271" s="181"/>
      <c r="AE271" s="181">
        <f t="shared" si="391"/>
        <v>0.76065573770491812</v>
      </c>
      <c r="AF271" s="565">
        <f t="shared" si="392"/>
        <v>1495.986920332937</v>
      </c>
      <c r="AG271" s="548">
        <f t="shared" si="393"/>
        <v>3.8603278688524589E-2</v>
      </c>
      <c r="AI271" s="181">
        <f t="shared" si="394"/>
        <v>0.59955340522282563</v>
      </c>
      <c r="AJ271" s="181">
        <f t="shared" si="395"/>
        <v>0.59955340522282563</v>
      </c>
      <c r="AK271" s="181">
        <f t="shared" si="396"/>
        <v>1.4292988186835744</v>
      </c>
      <c r="AM271" s="565">
        <f t="shared" si="397"/>
        <v>165</v>
      </c>
      <c r="AN271" s="474">
        <f t="shared" si="398"/>
        <v>350</v>
      </c>
      <c r="AP271">
        <f t="shared" si="399"/>
        <v>165</v>
      </c>
      <c r="AQ271">
        <f t="shared" si="400"/>
        <v>350</v>
      </c>
      <c r="AS271" s="6">
        <f t="shared" si="406"/>
        <v>2.8571428571428572</v>
      </c>
      <c r="AT271" s="6">
        <f t="shared" si="401"/>
        <v>0.99925567537137605</v>
      </c>
      <c r="AU271" s="6">
        <f t="shared" si="372"/>
        <v>1.8578871817714813</v>
      </c>
      <c r="AV271" s="6"/>
      <c r="AW271" s="181">
        <f t="shared" si="373"/>
        <v>0.34973948637998159</v>
      </c>
      <c r="AX271" s="181"/>
      <c r="CB271" s="583">
        <f t="shared" si="402"/>
        <v>-50</v>
      </c>
      <c r="CC271">
        <f t="shared" si="403"/>
        <v>-50</v>
      </c>
    </row>
    <row r="272" spans="5:81" x14ac:dyDescent="0.2">
      <c r="E272" s="178">
        <v>56</v>
      </c>
      <c r="F272" s="225">
        <f t="shared" si="404"/>
        <v>0.16800000000000001</v>
      </c>
      <c r="G272" s="225"/>
      <c r="H272" s="225">
        <f t="shared" si="374"/>
        <v>2.52</v>
      </c>
      <c r="I272" s="561">
        <f t="shared" si="375"/>
        <v>24</v>
      </c>
      <c r="J272" s="456">
        <f t="shared" si="376"/>
        <v>15.25</v>
      </c>
      <c r="K272" s="456">
        <f t="shared" si="377"/>
        <v>39.25</v>
      </c>
      <c r="L272" s="456"/>
      <c r="M272" s="225">
        <f t="shared" si="378"/>
        <v>0.38853503184713378</v>
      </c>
      <c r="N272" s="180">
        <f t="shared" si="379"/>
        <v>6.0844585987261137</v>
      </c>
      <c r="O272" s="180">
        <f t="shared" si="405"/>
        <v>2.52</v>
      </c>
      <c r="P272" s="225">
        <f t="shared" si="380"/>
        <v>0.40563057324840757</v>
      </c>
      <c r="Q272" s="225">
        <f t="shared" si="381"/>
        <v>15</v>
      </c>
      <c r="R272" s="225"/>
      <c r="S272" s="180">
        <f t="shared" si="382"/>
        <v>69.300553898558562</v>
      </c>
      <c r="T272" s="180">
        <f t="shared" si="383"/>
        <v>15</v>
      </c>
      <c r="U272" s="225">
        <f t="shared" si="384"/>
        <v>0.60054644808743163</v>
      </c>
      <c r="V272" s="225">
        <f t="shared" si="385"/>
        <v>1.0009107468123861</v>
      </c>
      <c r="W272" s="225">
        <f t="shared" si="386"/>
        <v>1.5752037982621161</v>
      </c>
      <c r="X272" s="205">
        <f t="shared" si="387"/>
        <v>350</v>
      </c>
      <c r="Y272" s="456">
        <f t="shared" si="354"/>
        <v>350</v>
      </c>
      <c r="AA272" s="225">
        <f t="shared" si="388"/>
        <v>0.66606005459508633</v>
      </c>
      <c r="AB272" s="181">
        <f t="shared" si="389"/>
        <v>1.7470427661510461</v>
      </c>
      <c r="AC272" s="181">
        <f t="shared" si="390"/>
        <v>0.20363619503544039</v>
      </c>
      <c r="AD272" s="181"/>
      <c r="AE272" s="181">
        <f t="shared" si="391"/>
        <v>0.76065573770491812</v>
      </c>
      <c r="AF272" s="565">
        <f t="shared" si="392"/>
        <v>1523.1866825208087</v>
      </c>
      <c r="AG272" s="548">
        <f t="shared" si="393"/>
        <v>3.8603278688524589E-2</v>
      </c>
      <c r="AI272" s="181">
        <f t="shared" si="394"/>
        <v>0.60497933849016694</v>
      </c>
      <c r="AJ272" s="181">
        <f t="shared" si="395"/>
        <v>0.60497933849016694</v>
      </c>
      <c r="AK272" s="181">
        <f t="shared" si="396"/>
        <v>1.4333180285112348</v>
      </c>
      <c r="AM272" s="565">
        <f t="shared" si="397"/>
        <v>168</v>
      </c>
      <c r="AN272" s="474">
        <f t="shared" si="398"/>
        <v>350</v>
      </c>
      <c r="AP272">
        <f t="shared" si="399"/>
        <v>168</v>
      </c>
      <c r="AQ272">
        <f t="shared" si="400"/>
        <v>350</v>
      </c>
      <c r="AS272" s="6">
        <f t="shared" si="406"/>
        <v>2.8571428571428572</v>
      </c>
      <c r="AT272" s="6">
        <f t="shared" si="401"/>
        <v>1.0082988974836116</v>
      </c>
      <c r="AU272" s="6">
        <f t="shared" si="372"/>
        <v>1.8488439596592456</v>
      </c>
      <c r="AV272" s="6"/>
      <c r="AW272" s="181">
        <f t="shared" si="373"/>
        <v>0.35290461411926405</v>
      </c>
      <c r="AX272" s="181"/>
      <c r="CB272" s="583">
        <f t="shared" si="402"/>
        <v>-50</v>
      </c>
      <c r="CC272">
        <f t="shared" si="403"/>
        <v>-50</v>
      </c>
    </row>
    <row r="273" spans="5:81" x14ac:dyDescent="0.2">
      <c r="E273" s="178">
        <v>57</v>
      </c>
      <c r="F273" s="225">
        <f t="shared" si="404"/>
        <v>0.17099999999999999</v>
      </c>
      <c r="G273" s="225"/>
      <c r="H273" s="225">
        <f t="shared" si="374"/>
        <v>2.5649999999999999</v>
      </c>
      <c r="I273" s="561">
        <f t="shared" si="375"/>
        <v>24</v>
      </c>
      <c r="J273" s="456">
        <f t="shared" si="376"/>
        <v>15.25</v>
      </c>
      <c r="K273" s="456">
        <f t="shared" si="377"/>
        <v>39.25</v>
      </c>
      <c r="L273" s="456"/>
      <c r="M273" s="225">
        <f t="shared" si="378"/>
        <v>0.38853503184713378</v>
      </c>
      <c r="N273" s="180">
        <f t="shared" si="379"/>
        <v>6.0844585987261137</v>
      </c>
      <c r="O273" s="180">
        <f t="shared" si="405"/>
        <v>2.5649999999999999</v>
      </c>
      <c r="P273" s="225">
        <f t="shared" si="380"/>
        <v>0.40563057324840757</v>
      </c>
      <c r="Q273" s="225">
        <f t="shared" si="381"/>
        <v>15</v>
      </c>
      <c r="R273" s="225"/>
      <c r="S273" s="180">
        <f t="shared" si="382"/>
        <v>67.667290115750561</v>
      </c>
      <c r="T273" s="180">
        <f t="shared" si="383"/>
        <v>15</v>
      </c>
      <c r="U273" s="225">
        <f t="shared" si="384"/>
        <v>0.61127049180327864</v>
      </c>
      <c r="V273" s="225">
        <f t="shared" si="385"/>
        <v>1.0187841530054644</v>
      </c>
      <c r="W273" s="225">
        <f t="shared" si="386"/>
        <v>1.6033324375167965</v>
      </c>
      <c r="X273" s="205">
        <f t="shared" si="387"/>
        <v>350</v>
      </c>
      <c r="Y273" s="456">
        <f t="shared" si="354"/>
        <v>350</v>
      </c>
      <c r="AA273" s="225">
        <f t="shared" si="388"/>
        <v>0.66606005459508633</v>
      </c>
      <c r="AB273" s="181">
        <f t="shared" si="389"/>
        <v>1.7470427661510461</v>
      </c>
      <c r="AC273" s="181">
        <f t="shared" si="390"/>
        <v>0.20363619503544039</v>
      </c>
      <c r="AD273" s="181"/>
      <c r="AE273" s="181">
        <f t="shared" si="391"/>
        <v>0.76065573770491812</v>
      </c>
      <c r="AF273" s="565">
        <f t="shared" si="392"/>
        <v>1550.3864447086801</v>
      </c>
      <c r="AG273" s="548">
        <f t="shared" si="393"/>
        <v>3.8603278688524589E-2</v>
      </c>
      <c r="AI273" s="181">
        <f t="shared" si="394"/>
        <v>0.61035703836829325</v>
      </c>
      <c r="AJ273" s="181">
        <f t="shared" si="395"/>
        <v>0.61035703836829325</v>
      </c>
      <c r="AK273" s="181">
        <f t="shared" si="396"/>
        <v>1.4373015099024395</v>
      </c>
      <c r="AM273" s="565">
        <f t="shared" si="397"/>
        <v>170.99999999999997</v>
      </c>
      <c r="AN273" s="474">
        <f t="shared" si="398"/>
        <v>350</v>
      </c>
      <c r="AP273">
        <f t="shared" si="399"/>
        <v>170.99999999999997</v>
      </c>
      <c r="AQ273">
        <f t="shared" si="400"/>
        <v>350</v>
      </c>
      <c r="AS273" s="6">
        <f t="shared" si="406"/>
        <v>2.8571428571428572</v>
      </c>
      <c r="AT273" s="6">
        <f t="shared" si="401"/>
        <v>1.0172617306138223</v>
      </c>
      <c r="AU273" s="6">
        <f t="shared" si="372"/>
        <v>1.8398811265290349</v>
      </c>
      <c r="AV273" s="6"/>
      <c r="AW273" s="181">
        <f t="shared" si="373"/>
        <v>0.35604160571483778</v>
      </c>
      <c r="AX273" s="181"/>
      <c r="CB273" s="583">
        <f t="shared" si="402"/>
        <v>-50</v>
      </c>
      <c r="CC273">
        <f t="shared" si="403"/>
        <v>-50</v>
      </c>
    </row>
    <row r="274" spans="5:81" x14ac:dyDescent="0.2">
      <c r="E274" s="178">
        <v>58</v>
      </c>
      <c r="F274" s="225">
        <f t="shared" si="404"/>
        <v>0.17399999999999999</v>
      </c>
      <c r="G274" s="225"/>
      <c r="H274" s="225">
        <f t="shared" si="374"/>
        <v>2.61</v>
      </c>
      <c r="I274" s="561">
        <f t="shared" si="375"/>
        <v>24</v>
      </c>
      <c r="J274" s="456">
        <f t="shared" si="376"/>
        <v>15.25</v>
      </c>
      <c r="K274" s="456">
        <f t="shared" si="377"/>
        <v>39.25</v>
      </c>
      <c r="L274" s="456"/>
      <c r="M274" s="225">
        <f t="shared" si="378"/>
        <v>0.38853503184713378</v>
      </c>
      <c r="N274" s="180">
        <f t="shared" si="379"/>
        <v>6.0844585987261137</v>
      </c>
      <c r="O274" s="180">
        <f t="shared" si="405"/>
        <v>2.61</v>
      </c>
      <c r="P274" s="225">
        <f t="shared" si="380"/>
        <v>0.40563057324840757</v>
      </c>
      <c r="Q274" s="225">
        <f t="shared" si="381"/>
        <v>15</v>
      </c>
      <c r="R274" s="225"/>
      <c r="S274" s="180">
        <f t="shared" si="382"/>
        <v>66.090442568179043</v>
      </c>
      <c r="T274" s="180">
        <f t="shared" si="383"/>
        <v>15</v>
      </c>
      <c r="U274" s="225">
        <f t="shared" si="384"/>
        <v>0.62199453551912565</v>
      </c>
      <c r="V274" s="225">
        <f t="shared" si="385"/>
        <v>1.036657559198543</v>
      </c>
      <c r="W274" s="225">
        <f t="shared" si="386"/>
        <v>1.6314610767714774</v>
      </c>
      <c r="X274" s="205">
        <f t="shared" si="387"/>
        <v>350</v>
      </c>
      <c r="Y274" s="456">
        <f t="shared" si="354"/>
        <v>350</v>
      </c>
      <c r="AA274" s="225">
        <f t="shared" si="388"/>
        <v>0.66606005459508633</v>
      </c>
      <c r="AB274" s="181">
        <f t="shared" si="389"/>
        <v>1.7470427661510461</v>
      </c>
      <c r="AC274" s="181">
        <f t="shared" si="390"/>
        <v>0.20363619503544039</v>
      </c>
      <c r="AD274" s="181"/>
      <c r="AE274" s="181">
        <f t="shared" si="391"/>
        <v>0.76065573770491812</v>
      </c>
      <c r="AF274" s="565">
        <f t="shared" si="392"/>
        <v>1577.5862068965516</v>
      </c>
      <c r="AG274" s="548">
        <f t="shared" si="393"/>
        <v>3.8603278688524589E-2</v>
      </c>
      <c r="AI274" s="181">
        <f t="shared" si="394"/>
        <v>0.6156877687362553</v>
      </c>
      <c r="AJ274" s="181">
        <f t="shared" si="395"/>
        <v>0.6156877687362553</v>
      </c>
      <c r="AK274" s="181">
        <f t="shared" si="396"/>
        <v>1.4412501990638928</v>
      </c>
      <c r="AM274" s="565">
        <f t="shared" si="397"/>
        <v>174</v>
      </c>
      <c r="AN274" s="474">
        <f t="shared" si="398"/>
        <v>350</v>
      </c>
      <c r="AP274">
        <f t="shared" si="399"/>
        <v>174</v>
      </c>
      <c r="AQ274">
        <f t="shared" si="400"/>
        <v>350</v>
      </c>
      <c r="AS274" s="6">
        <f t="shared" si="406"/>
        <v>2.8571428571428572</v>
      </c>
      <c r="AT274" s="6">
        <f t="shared" si="401"/>
        <v>1.0261462812270921</v>
      </c>
      <c r="AU274" s="6">
        <f t="shared" si="372"/>
        <v>1.8309965759157651</v>
      </c>
      <c r="AV274" s="6"/>
      <c r="AW274" s="181">
        <f t="shared" si="373"/>
        <v>0.35915119842948223</v>
      </c>
      <c r="AX274" s="181"/>
      <c r="CB274" s="583">
        <f t="shared" si="402"/>
        <v>-50</v>
      </c>
      <c r="CC274">
        <f t="shared" si="403"/>
        <v>-50</v>
      </c>
    </row>
    <row r="275" spans="5:81" x14ac:dyDescent="0.2">
      <c r="E275" s="178">
        <v>59</v>
      </c>
      <c r="F275" s="225">
        <f t="shared" si="404"/>
        <v>0.17699999999999999</v>
      </c>
      <c r="G275" s="225"/>
      <c r="H275" s="225">
        <f t="shared" si="374"/>
        <v>2.6549999999999998</v>
      </c>
      <c r="I275" s="561">
        <f t="shared" si="375"/>
        <v>24</v>
      </c>
      <c r="J275" s="456">
        <f t="shared" si="376"/>
        <v>15.25</v>
      </c>
      <c r="K275" s="456">
        <f t="shared" si="377"/>
        <v>39.25</v>
      </c>
      <c r="L275" s="456"/>
      <c r="M275" s="225">
        <f t="shared" si="378"/>
        <v>0.38853503184713378</v>
      </c>
      <c r="N275" s="180">
        <f t="shared" si="379"/>
        <v>6.0844585987261137</v>
      </c>
      <c r="O275" s="180">
        <f t="shared" si="405"/>
        <v>2.6549999999999998</v>
      </c>
      <c r="P275" s="225">
        <f t="shared" si="380"/>
        <v>0.40563057324840757</v>
      </c>
      <c r="Q275" s="225">
        <f t="shared" si="381"/>
        <v>15</v>
      </c>
      <c r="R275" s="225"/>
      <c r="S275" s="180">
        <f t="shared" si="382"/>
        <v>64.567144372698294</v>
      </c>
      <c r="T275" s="180">
        <f t="shared" si="383"/>
        <v>15</v>
      </c>
      <c r="U275" s="225">
        <f t="shared" si="384"/>
        <v>0.63271857923497254</v>
      </c>
      <c r="V275" s="225">
        <f t="shared" si="385"/>
        <v>1.0545309653916211</v>
      </c>
      <c r="W275" s="225">
        <f t="shared" si="386"/>
        <v>1.6595897160261577</v>
      </c>
      <c r="X275" s="205">
        <f t="shared" si="387"/>
        <v>350</v>
      </c>
      <c r="Y275" s="456">
        <f t="shared" si="354"/>
        <v>350</v>
      </c>
      <c r="AA275" s="225">
        <f t="shared" si="388"/>
        <v>0.66606005459508633</v>
      </c>
      <c r="AB275" s="181">
        <f t="shared" si="389"/>
        <v>1.7470427661510461</v>
      </c>
      <c r="AC275" s="181">
        <f t="shared" si="390"/>
        <v>0.20363619503544039</v>
      </c>
      <c r="AD275" s="181"/>
      <c r="AE275" s="181">
        <f t="shared" si="391"/>
        <v>0.76065573770491812</v>
      </c>
      <c r="AF275" s="565">
        <f t="shared" si="392"/>
        <v>1604.7859690844232</v>
      </c>
      <c r="AG275" s="548">
        <f t="shared" si="393"/>
        <v>3.8603278688524589E-2</v>
      </c>
      <c r="AI275" s="181">
        <f t="shared" si="394"/>
        <v>0.62097273922221641</v>
      </c>
      <c r="AJ275" s="181">
        <f t="shared" si="395"/>
        <v>0.62097273922221641</v>
      </c>
      <c r="AK275" s="181">
        <f t="shared" si="396"/>
        <v>1.4451649920164567</v>
      </c>
      <c r="AM275" s="565">
        <f t="shared" si="397"/>
        <v>177</v>
      </c>
      <c r="AN275" s="474">
        <f t="shared" si="398"/>
        <v>350</v>
      </c>
      <c r="AP275">
        <f t="shared" si="399"/>
        <v>177</v>
      </c>
      <c r="AQ275">
        <f t="shared" si="400"/>
        <v>350</v>
      </c>
      <c r="AS275" s="6">
        <f t="shared" si="406"/>
        <v>2.8571428571428572</v>
      </c>
      <c r="AT275" s="6">
        <f t="shared" si="401"/>
        <v>1.0349545653703609</v>
      </c>
      <c r="AU275" s="6">
        <f t="shared" si="372"/>
        <v>1.8221882917724963</v>
      </c>
      <c r="AV275" s="6"/>
      <c r="AW275" s="181">
        <f t="shared" si="373"/>
        <v>0.36223409787962629</v>
      </c>
      <c r="AX275" s="181"/>
      <c r="CB275" s="583">
        <f t="shared" si="402"/>
        <v>-50</v>
      </c>
      <c r="CC275">
        <f t="shared" si="403"/>
        <v>-50</v>
      </c>
    </row>
    <row r="276" spans="5:81" x14ac:dyDescent="0.2">
      <c r="E276" s="178">
        <v>60</v>
      </c>
      <c r="F276" s="225">
        <f t="shared" si="404"/>
        <v>0.18</v>
      </c>
      <c r="G276" s="225"/>
      <c r="H276" s="225">
        <f t="shared" si="374"/>
        <v>2.6999999999999997</v>
      </c>
      <c r="I276" s="561">
        <f t="shared" si="375"/>
        <v>24</v>
      </c>
      <c r="J276" s="456">
        <f t="shared" si="376"/>
        <v>15.25</v>
      </c>
      <c r="K276" s="456">
        <f t="shared" si="377"/>
        <v>39.25</v>
      </c>
      <c r="L276" s="456"/>
      <c r="M276" s="225">
        <f t="shared" si="378"/>
        <v>0.38853503184713378</v>
      </c>
      <c r="N276" s="180">
        <f t="shared" si="379"/>
        <v>6.0844585987261137</v>
      </c>
      <c r="O276" s="180">
        <f t="shared" si="405"/>
        <v>2.6999999999999997</v>
      </c>
      <c r="P276" s="225">
        <f t="shared" si="380"/>
        <v>0.40563057324840757</v>
      </c>
      <c r="Q276" s="225">
        <f t="shared" si="381"/>
        <v>15</v>
      </c>
      <c r="R276" s="225"/>
      <c r="S276" s="180">
        <f t="shared" si="382"/>
        <v>63.094719812760019</v>
      </c>
      <c r="T276" s="180">
        <f t="shared" si="383"/>
        <v>15</v>
      </c>
      <c r="U276" s="225">
        <f t="shared" si="384"/>
        <v>0.64344262295081955</v>
      </c>
      <c r="V276" s="225">
        <f t="shared" si="385"/>
        <v>1.0724043715846994</v>
      </c>
      <c r="W276" s="225">
        <f t="shared" si="386"/>
        <v>1.6877183552808384</v>
      </c>
      <c r="X276" s="205">
        <f t="shared" si="387"/>
        <v>350</v>
      </c>
      <c r="Y276" s="456">
        <f t="shared" ref="Y276:Y316" si="407">MIN(1/(V276+W276)*1000, 350)</f>
        <v>350</v>
      </c>
      <c r="AA276" s="225">
        <f t="shared" si="388"/>
        <v>0.66606005459508633</v>
      </c>
      <c r="AB276" s="181">
        <f t="shared" si="389"/>
        <v>1.7470427661510461</v>
      </c>
      <c r="AC276" s="181">
        <f t="shared" si="390"/>
        <v>0.20363619503544039</v>
      </c>
      <c r="AD276" s="181"/>
      <c r="AE276" s="181">
        <f t="shared" si="391"/>
        <v>0.76065573770491812</v>
      </c>
      <c r="AF276" s="565">
        <f t="shared" si="392"/>
        <v>1631.985731272295</v>
      </c>
      <c r="AG276" s="548">
        <f t="shared" si="393"/>
        <v>3.8603278688524589E-2</v>
      </c>
      <c r="AI276" s="181">
        <f t="shared" si="394"/>
        <v>0.62621310840867672</v>
      </c>
      <c r="AJ276" s="181">
        <f t="shared" si="395"/>
        <v>0.62621310840867672</v>
      </c>
      <c r="AK276" s="181">
        <f t="shared" si="396"/>
        <v>1.4490467469693902</v>
      </c>
      <c r="AM276" s="565">
        <f t="shared" si="397"/>
        <v>180</v>
      </c>
      <c r="AN276" s="474">
        <f t="shared" si="398"/>
        <v>350</v>
      </c>
      <c r="AP276">
        <f t="shared" si="399"/>
        <v>180</v>
      </c>
      <c r="AQ276">
        <f t="shared" si="400"/>
        <v>350</v>
      </c>
      <c r="AS276" s="6">
        <f t="shared" si="406"/>
        <v>2.8571428571428572</v>
      </c>
      <c r="AT276" s="6">
        <f t="shared" si="401"/>
        <v>1.0436885140144614</v>
      </c>
      <c r="AU276" s="6">
        <f t="shared" si="372"/>
        <v>1.8134543431283958</v>
      </c>
      <c r="AV276" s="6"/>
      <c r="AW276" s="181">
        <f t="shared" si="373"/>
        <v>0.36529097990506149</v>
      </c>
      <c r="AX276" s="181"/>
      <c r="CB276" s="583">
        <f t="shared" si="402"/>
        <v>-50</v>
      </c>
      <c r="CC276">
        <f t="shared" si="403"/>
        <v>-50</v>
      </c>
    </row>
    <row r="277" spans="5:81" x14ac:dyDescent="0.2">
      <c r="E277" s="178">
        <v>61</v>
      </c>
      <c r="F277" s="225">
        <f t="shared" si="404"/>
        <v>0.183</v>
      </c>
      <c r="G277" s="225"/>
      <c r="H277" s="225">
        <f t="shared" si="374"/>
        <v>2.7450000000000001</v>
      </c>
      <c r="I277" s="561">
        <f t="shared" si="375"/>
        <v>24</v>
      </c>
      <c r="J277" s="456">
        <f t="shared" si="376"/>
        <v>15.25</v>
      </c>
      <c r="K277" s="456">
        <f t="shared" si="377"/>
        <v>39.25</v>
      </c>
      <c r="L277" s="456"/>
      <c r="M277" s="225">
        <f t="shared" si="378"/>
        <v>0.38853503184713378</v>
      </c>
      <c r="N277" s="180">
        <f t="shared" si="379"/>
        <v>6.0844585987261137</v>
      </c>
      <c r="O277" s="180">
        <f t="shared" si="405"/>
        <v>2.7450000000000001</v>
      </c>
      <c r="P277" s="225">
        <f t="shared" si="380"/>
        <v>0.40563057324840757</v>
      </c>
      <c r="Q277" s="225">
        <f t="shared" si="381"/>
        <v>15</v>
      </c>
      <c r="R277" s="225"/>
      <c r="S277" s="180">
        <f t="shared" si="382"/>
        <v>61.670668670212116</v>
      </c>
      <c r="T277" s="180">
        <f t="shared" si="383"/>
        <v>15</v>
      </c>
      <c r="U277" s="225">
        <f t="shared" si="384"/>
        <v>0.65416666666666667</v>
      </c>
      <c r="V277" s="225">
        <f t="shared" si="385"/>
        <v>1.0902777777777777</v>
      </c>
      <c r="W277" s="225">
        <f t="shared" si="386"/>
        <v>1.7158469945355193</v>
      </c>
      <c r="X277" s="205">
        <f t="shared" si="387"/>
        <v>350</v>
      </c>
      <c r="Y277" s="456">
        <f t="shared" si="407"/>
        <v>350</v>
      </c>
      <c r="AA277" s="225">
        <f t="shared" si="388"/>
        <v>0.66606005459508633</v>
      </c>
      <c r="AB277" s="181">
        <f t="shared" si="389"/>
        <v>1.7470427661510461</v>
      </c>
      <c r="AC277" s="181">
        <f t="shared" si="390"/>
        <v>0.20363619503544039</v>
      </c>
      <c r="AD277" s="181"/>
      <c r="AE277" s="181">
        <f t="shared" si="391"/>
        <v>0.76065573770491812</v>
      </c>
      <c r="AF277" s="565">
        <f t="shared" si="392"/>
        <v>1659.1854934601665</v>
      </c>
      <c r="AG277" s="548">
        <f t="shared" si="393"/>
        <v>3.8603278688524589E-2</v>
      </c>
      <c r="AI277" s="181">
        <f t="shared" si="394"/>
        <v>0.63140998679825411</v>
      </c>
      <c r="AJ277" s="181">
        <f t="shared" si="395"/>
        <v>0.63140998679825411</v>
      </c>
      <c r="AK277" s="181">
        <f t="shared" si="396"/>
        <v>1.4528962865172252</v>
      </c>
      <c r="AM277" s="565">
        <f t="shared" si="397"/>
        <v>183</v>
      </c>
      <c r="AN277" s="474">
        <f t="shared" si="398"/>
        <v>350</v>
      </c>
      <c r="AP277">
        <f t="shared" si="399"/>
        <v>183</v>
      </c>
      <c r="AQ277">
        <f t="shared" si="400"/>
        <v>350</v>
      </c>
      <c r="AS277" s="6">
        <f t="shared" si="406"/>
        <v>2.8571428571428572</v>
      </c>
      <c r="AT277" s="6">
        <f t="shared" si="401"/>
        <v>1.0523499779970904</v>
      </c>
      <c r="AU277" s="6">
        <f t="shared" si="372"/>
        <v>1.8047928791457668</v>
      </c>
      <c r="AV277" s="6"/>
      <c r="AW277" s="181">
        <f t="shared" si="373"/>
        <v>0.36832249229898162</v>
      </c>
      <c r="AX277" s="181"/>
      <c r="CB277" s="583">
        <f t="shared" si="402"/>
        <v>-50</v>
      </c>
      <c r="CC277">
        <f t="shared" si="403"/>
        <v>-50</v>
      </c>
    </row>
    <row r="278" spans="5:81" x14ac:dyDescent="0.2">
      <c r="E278" s="178">
        <v>62</v>
      </c>
      <c r="F278" s="225">
        <f t="shared" si="404"/>
        <v>0.186</v>
      </c>
      <c r="G278" s="225"/>
      <c r="H278" s="225">
        <f t="shared" si="374"/>
        <v>2.79</v>
      </c>
      <c r="I278" s="561">
        <f t="shared" si="375"/>
        <v>24</v>
      </c>
      <c r="J278" s="456">
        <f t="shared" si="376"/>
        <v>15.25</v>
      </c>
      <c r="K278" s="456">
        <f t="shared" si="377"/>
        <v>39.25</v>
      </c>
      <c r="L278" s="456"/>
      <c r="M278" s="225">
        <f t="shared" si="378"/>
        <v>0.38853503184713378</v>
      </c>
      <c r="N278" s="180">
        <f t="shared" si="379"/>
        <v>6.0844585987261137</v>
      </c>
      <c r="O278" s="180">
        <f t="shared" si="405"/>
        <v>2.79</v>
      </c>
      <c r="P278" s="225">
        <f t="shared" si="380"/>
        <v>0.40563057324840757</v>
      </c>
      <c r="Q278" s="225">
        <f t="shared" si="381"/>
        <v>15</v>
      </c>
      <c r="R278" s="225"/>
      <c r="S278" s="180">
        <f t="shared" si="382"/>
        <v>60.292652073415702</v>
      </c>
      <c r="T278" s="180">
        <f t="shared" si="383"/>
        <v>15</v>
      </c>
      <c r="U278" s="225">
        <f t="shared" si="384"/>
        <v>0.66489071038251357</v>
      </c>
      <c r="V278" s="225">
        <f t="shared" si="385"/>
        <v>1.1081511839708562</v>
      </c>
      <c r="W278" s="225">
        <f t="shared" si="386"/>
        <v>1.7439756337901997</v>
      </c>
      <c r="X278" s="205">
        <f t="shared" si="387"/>
        <v>350</v>
      </c>
      <c r="Y278" s="456">
        <f t="shared" si="407"/>
        <v>350</v>
      </c>
      <c r="AA278" s="225">
        <f t="shared" si="388"/>
        <v>0.66606005459508633</v>
      </c>
      <c r="AB278" s="181">
        <f t="shared" si="389"/>
        <v>1.7470427661510461</v>
      </c>
      <c r="AC278" s="181">
        <f t="shared" si="390"/>
        <v>0.20363619503544039</v>
      </c>
      <c r="AD278" s="181"/>
      <c r="AE278" s="181">
        <f t="shared" si="391"/>
        <v>0.76065573770491812</v>
      </c>
      <c r="AF278" s="565">
        <f t="shared" si="392"/>
        <v>1686.3852556480381</v>
      </c>
      <c r="AG278" s="548">
        <f t="shared" si="393"/>
        <v>3.8603278688524589E-2</v>
      </c>
      <c r="AI278" s="181">
        <f t="shared" si="394"/>
        <v>0.63656443956153075</v>
      </c>
      <c r="AJ278" s="181">
        <f t="shared" si="395"/>
        <v>0.63656443956153075</v>
      </c>
      <c r="AK278" s="181">
        <f t="shared" si="396"/>
        <v>1.4567143996752079</v>
      </c>
      <c r="AM278" s="565">
        <f t="shared" si="397"/>
        <v>186</v>
      </c>
      <c r="AN278" s="474">
        <f t="shared" si="398"/>
        <v>350</v>
      </c>
      <c r="AP278">
        <f t="shared" si="399"/>
        <v>186</v>
      </c>
      <c r="AQ278">
        <f t="shared" si="400"/>
        <v>350</v>
      </c>
      <c r="AS278" s="6">
        <f t="shared" si="406"/>
        <v>2.8571428571428572</v>
      </c>
      <c r="AT278" s="6">
        <f t="shared" si="401"/>
        <v>1.0609407326025513</v>
      </c>
      <c r="AU278" s="6">
        <f t="shared" si="372"/>
        <v>1.7962021245403059</v>
      </c>
      <c r="AV278" s="6"/>
      <c r="AW278" s="181">
        <f t="shared" si="373"/>
        <v>0.37132925641089293</v>
      </c>
      <c r="AX278" s="181"/>
      <c r="CB278" s="583">
        <f t="shared" si="402"/>
        <v>-50</v>
      </c>
      <c r="CC278">
        <f t="shared" si="403"/>
        <v>-50</v>
      </c>
    </row>
    <row r="279" spans="5:81" x14ac:dyDescent="0.2">
      <c r="E279" s="178">
        <v>63</v>
      </c>
      <c r="F279" s="225">
        <f t="shared" si="404"/>
        <v>0.189</v>
      </c>
      <c r="G279" s="225"/>
      <c r="H279" s="225">
        <f t="shared" si="374"/>
        <v>2.835</v>
      </c>
      <c r="I279" s="561">
        <f t="shared" si="375"/>
        <v>24</v>
      </c>
      <c r="J279" s="456">
        <f t="shared" si="376"/>
        <v>15.25</v>
      </c>
      <c r="K279" s="456">
        <f t="shared" si="377"/>
        <v>39.25</v>
      </c>
      <c r="L279" s="456"/>
      <c r="M279" s="225">
        <f t="shared" si="378"/>
        <v>0.38853503184713378</v>
      </c>
      <c r="N279" s="180">
        <f t="shared" si="379"/>
        <v>6.0844585987261137</v>
      </c>
      <c r="O279" s="180">
        <f t="shared" si="405"/>
        <v>2.835</v>
      </c>
      <c r="P279" s="225">
        <f t="shared" si="380"/>
        <v>0.40563057324840757</v>
      </c>
      <c r="Q279" s="225">
        <f t="shared" si="381"/>
        <v>15</v>
      </c>
      <c r="R279" s="225"/>
      <c r="S279" s="180">
        <f t="shared" si="382"/>
        <v>58.958479693202321</v>
      </c>
      <c r="T279" s="180">
        <f t="shared" si="383"/>
        <v>15</v>
      </c>
      <c r="U279" s="225">
        <f t="shared" si="384"/>
        <v>0.67561475409836058</v>
      </c>
      <c r="V279" s="225">
        <f t="shared" si="385"/>
        <v>1.1260245901639345</v>
      </c>
      <c r="W279" s="225">
        <f t="shared" si="386"/>
        <v>1.7721042730448804</v>
      </c>
      <c r="X279" s="205">
        <f t="shared" si="387"/>
        <v>350</v>
      </c>
      <c r="Y279" s="456">
        <f t="shared" si="407"/>
        <v>345.0502193656074</v>
      </c>
      <c r="AA279" s="225">
        <f t="shared" si="388"/>
        <v>0.66606005459508633</v>
      </c>
      <c r="AB279" s="181">
        <f t="shared" si="389"/>
        <v>1.7470427661510461</v>
      </c>
      <c r="AC279" s="181">
        <f t="shared" si="390"/>
        <v>0.20363619503544039</v>
      </c>
      <c r="AD279" s="181"/>
      <c r="AE279" s="181">
        <f t="shared" si="391"/>
        <v>0.76065573770491812</v>
      </c>
      <c r="AF279" s="565">
        <f t="shared" si="392"/>
        <v>1713.5850178359094</v>
      </c>
      <c r="AG279" s="548">
        <f t="shared" si="393"/>
        <v>3.8603278688524589E-2</v>
      </c>
      <c r="AI279" s="181">
        <f t="shared" si="394"/>
        <v>0.64167748908622313</v>
      </c>
      <c r="AJ279" s="181">
        <f t="shared" si="395"/>
        <v>0.64167748908622313</v>
      </c>
      <c r="AK279" s="181">
        <f t="shared" si="396"/>
        <v>1.4605018437675727</v>
      </c>
      <c r="AM279" s="565">
        <f t="shared" si="397"/>
        <v>189</v>
      </c>
      <c r="AN279" s="474">
        <f t="shared" si="398"/>
        <v>345.0502193656074</v>
      </c>
      <c r="AP279">
        <f t="shared" si="399"/>
        <v>189</v>
      </c>
      <c r="AQ279">
        <f t="shared" si="400"/>
        <v>345.0502193656074</v>
      </c>
      <c r="AS279" s="6">
        <f t="shared" si="406"/>
        <v>2.8981288632088149</v>
      </c>
      <c r="AT279" s="6">
        <f t="shared" si="401"/>
        <v>1.069462481810372</v>
      </c>
      <c r="AU279" s="6">
        <f t="shared" si="372"/>
        <v>1.828666381398443</v>
      </c>
      <c r="AV279" s="6"/>
      <c r="AW279" s="181">
        <f t="shared" si="373"/>
        <v>0.36901826395195575</v>
      </c>
      <c r="AX279" s="181"/>
      <c r="CB279" s="583">
        <f t="shared" si="402"/>
        <v>-50</v>
      </c>
      <c r="CC279">
        <f t="shared" si="403"/>
        <v>-50</v>
      </c>
    </row>
    <row r="280" spans="5:81" x14ac:dyDescent="0.2">
      <c r="E280" s="178">
        <v>64</v>
      </c>
      <c r="F280" s="225">
        <f t="shared" si="404"/>
        <v>0.192</v>
      </c>
      <c r="G280" s="225"/>
      <c r="H280" s="225">
        <f t="shared" ref="H280:H311" si="408">F280*Vout</f>
        <v>2.88</v>
      </c>
      <c r="I280" s="561">
        <f t="shared" ref="I280:I316" si="409">VIN_max</f>
        <v>24</v>
      </c>
      <c r="J280" s="456">
        <f t="shared" ref="J280:J316" si="410">(T280+Vfwd1)*Nps</f>
        <v>15.25</v>
      </c>
      <c r="K280" s="456">
        <f t="shared" ref="K280:K316" si="411">(Vout+Vfwd1)*Nps+I280</f>
        <v>39.25</v>
      </c>
      <c r="L280" s="456"/>
      <c r="M280" s="225">
        <f t="shared" ref="M280:M316" si="412">(Vout+Vfwd1)*Nps/((Vout+Vfwd1)*Nps+I280)</f>
        <v>0.38853503184713378</v>
      </c>
      <c r="N280" s="180">
        <f t="shared" ref="N280:N311" si="413">M280*I280*Isw_max*0.5*Efficiency</f>
        <v>6.0844585987261137</v>
      </c>
      <c r="O280" s="180">
        <f t="shared" si="405"/>
        <v>2.88</v>
      </c>
      <c r="P280" s="225">
        <f t="shared" ref="P280:P311" si="414">N280/Vout</f>
        <v>0.40563057324840757</v>
      </c>
      <c r="Q280" s="225">
        <f t="shared" ref="Q280:Q316" si="415">MIN(Vout,N280/F280)</f>
        <v>15</v>
      </c>
      <c r="R280" s="225"/>
      <c r="S280" s="180">
        <f t="shared" ref="S280:S316" si="416">(SQRT(Isw_max^2*Nps^2*I280^2+4*Isw_max*F280/Efficiency*(Nps^2*Vfwd1*I280-Nps*I280^2)+4*(F280/Efficiency)^2*Nps^2*Vfwd1^2+8*(F280/Efficiency)^2*Nps*Vfwd1*I280+4*(F280/Efficiency)^2*I280^2)-2*F280/Efficiency*I280-2*F280/Efficiency*Nps*Vfwd1+Isw_max*Nps*I280)/(4*F280/Efficiency*Nps)</f>
        <v>57.666098139252647</v>
      </c>
      <c r="T280" s="180">
        <f t="shared" ref="T280:T311" si="417">MIN(Vout, S280)</f>
        <v>15</v>
      </c>
      <c r="U280" s="225">
        <f t="shared" ref="U280:U316" si="418">MIN(2*Vout*F280/(Efficiency*I280*M280), Isw_max)</f>
        <v>0.68633879781420759</v>
      </c>
      <c r="V280" s="225">
        <f t="shared" ref="V280:V311" si="419">L*U280/I280*1000000</f>
        <v>1.1438979963570128</v>
      </c>
      <c r="W280" s="225">
        <f t="shared" ref="W280:W316" si="420">L*U280/J280*1000000</f>
        <v>1.8002329122995611</v>
      </c>
      <c r="X280" s="205">
        <f t="shared" ref="X280:X316" si="421">IF(1/((350000*L)*(1/I280+1/J280))&gt;Isw_min, 350, 0.001/((Isw_min*L)*(1/I280+1/J280)))</f>
        <v>350</v>
      </c>
      <c r="Y280" s="456">
        <f t="shared" si="407"/>
        <v>339.6588096880198</v>
      </c>
      <c r="AA280" s="225">
        <f t="shared" ref="AA280:AA316" si="422">1/((X280*1000*L)*(1/I280+1/J280))</f>
        <v>0.66606005459508633</v>
      </c>
      <c r="AB280" s="181">
        <f t="shared" ref="AB280:AB311" si="423">L*AA280/J280*1000000</f>
        <v>1.7470427661510461</v>
      </c>
      <c r="AC280" s="181">
        <f t="shared" ref="AC280:AC311" si="424">0.5*AB280*AA280*Nps*X280/1000</f>
        <v>0.20363619503544039</v>
      </c>
      <c r="AD280" s="181"/>
      <c r="AE280" s="181">
        <f t="shared" ref="AE280:AE316" si="425">L*Isw_min/J280*1000000</f>
        <v>0.76065573770491812</v>
      </c>
      <c r="AF280" s="565">
        <f t="shared" ref="AF280:AF311" si="426">MAX(10000,F280/(0.5*AE280/1000000*Isw_min*Nps))/1000</f>
        <v>1740.7847800237812</v>
      </c>
      <c r="AG280" s="548">
        <f t="shared" ref="AG280:AG316" si="427">0.5*AE280/1000000*Isw_min*Nps*X280*1000</f>
        <v>3.8603278688524589E-2</v>
      </c>
      <c r="AI280" s="181">
        <f t="shared" ref="AI280:AI316" si="428">SQRT(F280/(0.5*L/J280*Fsw_DCM*Nps))</f>
        <v>0.64675011734495591</v>
      </c>
      <c r="AJ280" s="181">
        <f t="shared" ref="AJ280:AJ311" si="429">MAX(IF(F280&gt;AC280,U280,AI280),Isw_min)</f>
        <v>0.64675011734495591</v>
      </c>
      <c r="AK280" s="181">
        <f t="shared" ref="AK280:AK311" si="430">IF(F280&gt;AG280, (AJ280-Isw_min)/1.08*0.8+1.2, AF280*0.2/350+1)</f>
        <v>1.4642593461814488</v>
      </c>
      <c r="AM280" s="565">
        <f t="shared" ref="AM280:AM316" si="431">F280*1000</f>
        <v>192</v>
      </c>
      <c r="AN280" s="474">
        <f t="shared" ref="AN280:AN316" si="432">IF(F280&gt;AG280, Y280, AF280)</f>
        <v>339.6588096880198</v>
      </c>
      <c r="AP280">
        <f t="shared" ref="AP280:AP316" si="433">IF(H280&gt;N280, "",AM280)</f>
        <v>192</v>
      </c>
      <c r="AQ280">
        <f t="shared" ref="AQ280:AQ316" si="434">IF(H280&gt;N280, "",AN280)</f>
        <v>339.6588096880198</v>
      </c>
      <c r="AS280" s="6">
        <f t="shared" si="406"/>
        <v>2.9441309086565739</v>
      </c>
      <c r="AT280" s="6">
        <f t="shared" ref="AT280:AT316" si="435">L*AJ280/I280*1000000</f>
        <v>1.0779168622415933</v>
      </c>
      <c r="AU280" s="6">
        <f t="shared" si="372"/>
        <v>1.8662140464149806</v>
      </c>
      <c r="AV280" s="6"/>
      <c r="AW280" s="181">
        <f t="shared" si="373"/>
        <v>0.36612395837162481</v>
      </c>
      <c r="AX280" s="181"/>
      <c r="CB280" s="583">
        <f t="shared" ref="CB280:CB316" si="436">IF(ABS(F280-Ioutmax_Vinmax)&lt;Iout/200, AN280, -50)</f>
        <v>-50</v>
      </c>
      <c r="CC280">
        <f t="shared" ref="CC280:CC316" si="437">IF(ABS(F280-Ioutmax_Vinmin)&lt;Iout/200, N280*BX280, -50)</f>
        <v>-50</v>
      </c>
    </row>
    <row r="281" spans="5:81" x14ac:dyDescent="0.2">
      <c r="E281" s="178">
        <v>65</v>
      </c>
      <c r="F281" s="225">
        <f t="shared" ref="F281:F312" si="438">IF(PLOT_TYPE=1, E281/100*Iout_max, min_I*EXP(N281*rr/100))</f>
        <v>0.19500000000000001</v>
      </c>
      <c r="G281" s="225"/>
      <c r="H281" s="225">
        <f t="shared" si="408"/>
        <v>2.9250000000000003</v>
      </c>
      <c r="I281" s="561">
        <f t="shared" si="409"/>
        <v>24</v>
      </c>
      <c r="J281" s="456">
        <f t="shared" si="410"/>
        <v>15.25</v>
      </c>
      <c r="K281" s="456">
        <f t="shared" si="411"/>
        <v>39.25</v>
      </c>
      <c r="L281" s="456"/>
      <c r="M281" s="225">
        <f t="shared" si="412"/>
        <v>0.38853503184713378</v>
      </c>
      <c r="N281" s="180">
        <f t="shared" si="413"/>
        <v>6.0844585987261137</v>
      </c>
      <c r="O281" s="180">
        <f t="shared" si="405"/>
        <v>2.9250000000000003</v>
      </c>
      <c r="P281" s="225">
        <f t="shared" si="414"/>
        <v>0.40563057324840757</v>
      </c>
      <c r="Q281" s="225">
        <f t="shared" si="415"/>
        <v>15</v>
      </c>
      <c r="R281" s="225"/>
      <c r="S281" s="180">
        <f t="shared" si="416"/>
        <v>56.413580427622598</v>
      </c>
      <c r="T281" s="180">
        <f t="shared" si="417"/>
        <v>15</v>
      </c>
      <c r="U281" s="225">
        <f t="shared" si="418"/>
        <v>0.6970628415300546</v>
      </c>
      <c r="V281" s="225">
        <f t="shared" si="419"/>
        <v>1.1617714025500911</v>
      </c>
      <c r="W281" s="225">
        <f t="shared" si="420"/>
        <v>1.8283615515542417</v>
      </c>
      <c r="X281" s="205">
        <f t="shared" si="421"/>
        <v>350</v>
      </c>
      <c r="Y281" s="456">
        <f t="shared" si="407"/>
        <v>334.43328953897333</v>
      </c>
      <c r="AA281" s="225">
        <f t="shared" si="422"/>
        <v>0.66606005459508633</v>
      </c>
      <c r="AB281" s="181">
        <f t="shared" si="423"/>
        <v>1.7470427661510461</v>
      </c>
      <c r="AC281" s="181">
        <f t="shared" si="424"/>
        <v>0.20363619503544039</v>
      </c>
      <c r="AD281" s="181"/>
      <c r="AE281" s="181">
        <f t="shared" si="425"/>
        <v>0.76065573770491812</v>
      </c>
      <c r="AF281" s="565">
        <f t="shared" si="426"/>
        <v>1767.9845422116528</v>
      </c>
      <c r="AG281" s="548">
        <f t="shared" si="427"/>
        <v>3.8603278688524589E-2</v>
      </c>
      <c r="AI281" s="181">
        <f t="shared" si="428"/>
        <v>0.65178326809717091</v>
      </c>
      <c r="AJ281" s="181">
        <f t="shared" si="429"/>
        <v>0.65178326809717091</v>
      </c>
      <c r="AK281" s="181">
        <f t="shared" si="430"/>
        <v>1.4679876059979042</v>
      </c>
      <c r="AM281" s="565">
        <f t="shared" si="431"/>
        <v>195</v>
      </c>
      <c r="AN281" s="474">
        <f t="shared" si="432"/>
        <v>334.43328953897333</v>
      </c>
      <c r="AP281">
        <f t="shared" si="433"/>
        <v>195</v>
      </c>
      <c r="AQ281">
        <f t="shared" si="434"/>
        <v>334.43328953897333</v>
      </c>
      <c r="AS281" s="6">
        <f t="shared" si="406"/>
        <v>2.9901329541043329</v>
      </c>
      <c r="AT281" s="6">
        <f t="shared" si="435"/>
        <v>1.0863054468286184</v>
      </c>
      <c r="AU281" s="6">
        <f t="shared" si="372"/>
        <v>1.9038275072757145</v>
      </c>
      <c r="AV281" s="6"/>
      <c r="AW281" s="181">
        <f t="shared" si="373"/>
        <v>0.36329670402699915</v>
      </c>
      <c r="AX281" s="181"/>
      <c r="CB281" s="583">
        <f t="shared" si="436"/>
        <v>-50</v>
      </c>
      <c r="CC281">
        <f t="shared" si="437"/>
        <v>-50</v>
      </c>
    </row>
    <row r="282" spans="5:81" x14ac:dyDescent="0.2">
      <c r="E282" s="178">
        <v>66</v>
      </c>
      <c r="F282" s="225">
        <f t="shared" si="438"/>
        <v>0.19800000000000001</v>
      </c>
      <c r="G282" s="225"/>
      <c r="H282" s="225">
        <f t="shared" si="408"/>
        <v>2.97</v>
      </c>
      <c r="I282" s="561">
        <f t="shared" si="409"/>
        <v>24</v>
      </c>
      <c r="J282" s="456">
        <f t="shared" si="410"/>
        <v>15.25</v>
      </c>
      <c r="K282" s="456">
        <f t="shared" si="411"/>
        <v>39.25</v>
      </c>
      <c r="L282" s="456"/>
      <c r="M282" s="225">
        <f t="shared" si="412"/>
        <v>0.38853503184713378</v>
      </c>
      <c r="N282" s="180">
        <f t="shared" si="413"/>
        <v>6.0844585987261137</v>
      </c>
      <c r="O282" s="180">
        <f t="shared" si="405"/>
        <v>2.97</v>
      </c>
      <c r="P282" s="225">
        <f t="shared" si="414"/>
        <v>0.40563057324840757</v>
      </c>
      <c r="Q282" s="225">
        <f t="shared" si="415"/>
        <v>15</v>
      </c>
      <c r="R282" s="225"/>
      <c r="S282" s="180">
        <f t="shared" si="416"/>
        <v>55.199116405811786</v>
      </c>
      <c r="T282" s="180">
        <f t="shared" si="417"/>
        <v>15</v>
      </c>
      <c r="U282" s="225">
        <f t="shared" si="418"/>
        <v>0.70778688524590161</v>
      </c>
      <c r="V282" s="225">
        <f t="shared" si="419"/>
        <v>1.1796448087431697</v>
      </c>
      <c r="W282" s="225">
        <f t="shared" si="420"/>
        <v>1.8564901908089224</v>
      </c>
      <c r="X282" s="205">
        <f t="shared" si="421"/>
        <v>350</v>
      </c>
      <c r="Y282" s="456">
        <f t="shared" si="407"/>
        <v>329.36611848535244</v>
      </c>
      <c r="AA282" s="225">
        <f t="shared" si="422"/>
        <v>0.66606005459508633</v>
      </c>
      <c r="AB282" s="181">
        <f t="shared" si="423"/>
        <v>1.7470427661510461</v>
      </c>
      <c r="AC282" s="181">
        <f t="shared" si="424"/>
        <v>0.20363619503544039</v>
      </c>
      <c r="AD282" s="181"/>
      <c r="AE282" s="181">
        <f t="shared" si="425"/>
        <v>0.76065573770491812</v>
      </c>
      <c r="AF282" s="565">
        <f t="shared" si="426"/>
        <v>1795.1843043995243</v>
      </c>
      <c r="AG282" s="548">
        <f t="shared" si="427"/>
        <v>3.8603278688524589E-2</v>
      </c>
      <c r="AI282" s="181">
        <f t="shared" si="428"/>
        <v>0.65677784893915447</v>
      </c>
      <c r="AJ282" s="181">
        <f t="shared" si="429"/>
        <v>0.65677784893915447</v>
      </c>
      <c r="AK282" s="181">
        <f t="shared" si="430"/>
        <v>1.4716872955104847</v>
      </c>
      <c r="AM282" s="565">
        <f t="shared" si="431"/>
        <v>198</v>
      </c>
      <c r="AN282" s="474">
        <f t="shared" si="432"/>
        <v>329.36611848535244</v>
      </c>
      <c r="AP282">
        <f t="shared" si="433"/>
        <v>198</v>
      </c>
      <c r="AQ282">
        <f t="shared" si="434"/>
        <v>329.36611848535244</v>
      </c>
      <c r="AS282" s="6">
        <f t="shared" si="406"/>
        <v>3.0361349995520923</v>
      </c>
      <c r="AT282" s="6">
        <f t="shared" si="435"/>
        <v>1.0946297482319243</v>
      </c>
      <c r="AU282" s="6">
        <f t="shared" si="372"/>
        <v>1.941505251320168</v>
      </c>
      <c r="AV282" s="6"/>
      <c r="AW282" s="181">
        <f t="shared" si="373"/>
        <v>0.36053395135374749</v>
      </c>
      <c r="AX282" s="181"/>
      <c r="CB282" s="583">
        <f t="shared" si="436"/>
        <v>-50</v>
      </c>
      <c r="CC282">
        <f t="shared" si="437"/>
        <v>-50</v>
      </c>
    </row>
    <row r="283" spans="5:81" x14ac:dyDescent="0.2">
      <c r="E283" s="178">
        <v>67</v>
      </c>
      <c r="F283" s="225">
        <f t="shared" si="438"/>
        <v>0.20100000000000001</v>
      </c>
      <c r="G283" s="225"/>
      <c r="H283" s="225">
        <f t="shared" si="408"/>
        <v>3.0150000000000001</v>
      </c>
      <c r="I283" s="561">
        <f t="shared" si="409"/>
        <v>24</v>
      </c>
      <c r="J283" s="456">
        <f t="shared" si="410"/>
        <v>15.25</v>
      </c>
      <c r="K283" s="456">
        <f t="shared" si="411"/>
        <v>39.25</v>
      </c>
      <c r="L283" s="456"/>
      <c r="M283" s="225">
        <f t="shared" si="412"/>
        <v>0.38853503184713378</v>
      </c>
      <c r="N283" s="180">
        <f t="shared" si="413"/>
        <v>6.0844585987261137</v>
      </c>
      <c r="O283" s="180">
        <f t="shared" si="405"/>
        <v>3.0150000000000001</v>
      </c>
      <c r="P283" s="225">
        <f t="shared" si="414"/>
        <v>0.40563057324840757</v>
      </c>
      <c r="Q283" s="225">
        <f t="shared" si="415"/>
        <v>15</v>
      </c>
      <c r="R283" s="225"/>
      <c r="S283" s="180">
        <f t="shared" si="416"/>
        <v>54.021004035334329</v>
      </c>
      <c r="T283" s="180">
        <f t="shared" si="417"/>
        <v>15</v>
      </c>
      <c r="U283" s="225">
        <f t="shared" si="418"/>
        <v>0.71851092896174862</v>
      </c>
      <c r="V283" s="225">
        <f t="shared" si="419"/>
        <v>1.197518214936248</v>
      </c>
      <c r="W283" s="225">
        <f t="shared" si="420"/>
        <v>1.8846188300636031</v>
      </c>
      <c r="X283" s="205">
        <f t="shared" si="421"/>
        <v>350</v>
      </c>
      <c r="Y283" s="456">
        <f t="shared" si="407"/>
        <v>324.45020626915317</v>
      </c>
      <c r="AA283" s="225">
        <f t="shared" si="422"/>
        <v>0.66606005459508633</v>
      </c>
      <c r="AB283" s="181">
        <f t="shared" si="423"/>
        <v>1.7470427661510461</v>
      </c>
      <c r="AC283" s="181">
        <f t="shared" si="424"/>
        <v>0.20363619503544039</v>
      </c>
      <c r="AD283" s="181"/>
      <c r="AE283" s="181">
        <f t="shared" si="425"/>
        <v>0.76065573770491812</v>
      </c>
      <c r="AF283" s="565">
        <f t="shared" si="426"/>
        <v>1822.3840665873959</v>
      </c>
      <c r="AG283" s="548">
        <f t="shared" si="427"/>
        <v>3.8603278688524589E-2</v>
      </c>
      <c r="AI283" s="181">
        <f t="shared" si="428"/>
        <v>0.66173473321479592</v>
      </c>
      <c r="AJ283" s="181">
        <f t="shared" si="429"/>
        <v>0.66173473321479592</v>
      </c>
      <c r="AK283" s="181">
        <f t="shared" si="430"/>
        <v>1.4753590616405896</v>
      </c>
      <c r="AM283" s="565">
        <f t="shared" si="431"/>
        <v>201</v>
      </c>
      <c r="AN283" s="474">
        <f t="shared" si="432"/>
        <v>324.45020626915317</v>
      </c>
      <c r="AP283">
        <f t="shared" si="433"/>
        <v>201</v>
      </c>
      <c r="AQ283">
        <f t="shared" si="434"/>
        <v>324.45020626915317</v>
      </c>
      <c r="AS283" s="6">
        <f t="shared" si="406"/>
        <v>3.0821370449998513</v>
      </c>
      <c r="AT283" s="6">
        <f t="shared" si="435"/>
        <v>1.1028912220246601</v>
      </c>
      <c r="AU283" s="6">
        <f t="shared" si="372"/>
        <v>1.9792458229751912</v>
      </c>
      <c r="AV283" s="6"/>
      <c r="AW283" s="181">
        <f t="shared" si="373"/>
        <v>0.35783328447833934</v>
      </c>
      <c r="AX283" s="181"/>
      <c r="CB283" s="583">
        <f t="shared" si="436"/>
        <v>-50</v>
      </c>
      <c r="CC283">
        <f t="shared" si="437"/>
        <v>-50</v>
      </c>
    </row>
    <row r="284" spans="5:81" x14ac:dyDescent="0.2">
      <c r="E284" s="178">
        <v>68</v>
      </c>
      <c r="F284" s="225">
        <f t="shared" si="438"/>
        <v>0.20400000000000001</v>
      </c>
      <c r="G284" s="225"/>
      <c r="H284" s="225">
        <f t="shared" si="408"/>
        <v>3.06</v>
      </c>
      <c r="I284" s="561">
        <f t="shared" si="409"/>
        <v>24</v>
      </c>
      <c r="J284" s="456">
        <f t="shared" si="410"/>
        <v>15.25</v>
      </c>
      <c r="K284" s="456">
        <f t="shared" si="411"/>
        <v>39.25</v>
      </c>
      <c r="L284" s="456"/>
      <c r="M284" s="225">
        <f t="shared" si="412"/>
        <v>0.38853503184713378</v>
      </c>
      <c r="N284" s="180">
        <f t="shared" si="413"/>
        <v>6.0844585987261137</v>
      </c>
      <c r="O284" s="180">
        <f t="shared" si="405"/>
        <v>3.06</v>
      </c>
      <c r="P284" s="225">
        <f t="shared" si="414"/>
        <v>0.40563057324840757</v>
      </c>
      <c r="Q284" s="225">
        <f t="shared" si="415"/>
        <v>15</v>
      </c>
      <c r="R284" s="225"/>
      <c r="S284" s="180">
        <f t="shared" si="416"/>
        <v>52.877641443521753</v>
      </c>
      <c r="T284" s="180">
        <f t="shared" si="417"/>
        <v>15</v>
      </c>
      <c r="U284" s="225">
        <f t="shared" si="418"/>
        <v>0.72923497267759552</v>
      </c>
      <c r="V284" s="225">
        <f t="shared" si="419"/>
        <v>1.2153916211293259</v>
      </c>
      <c r="W284" s="225">
        <f t="shared" si="420"/>
        <v>1.9127474693182833</v>
      </c>
      <c r="X284" s="205">
        <f t="shared" si="421"/>
        <v>350</v>
      </c>
      <c r="Y284" s="456">
        <f t="shared" si="407"/>
        <v>319.67887970637162</v>
      </c>
      <c r="AA284" s="225">
        <f t="shared" si="422"/>
        <v>0.66606005459508633</v>
      </c>
      <c r="AB284" s="181">
        <f t="shared" si="423"/>
        <v>1.7470427661510461</v>
      </c>
      <c r="AC284" s="181">
        <f t="shared" si="424"/>
        <v>0.20363619503544039</v>
      </c>
      <c r="AD284" s="181"/>
      <c r="AE284" s="181">
        <f t="shared" si="425"/>
        <v>0.76065573770491812</v>
      </c>
      <c r="AF284" s="565">
        <f t="shared" si="426"/>
        <v>1849.5838287752676</v>
      </c>
      <c r="AG284" s="548">
        <f t="shared" si="427"/>
        <v>3.8603278688524589E-2</v>
      </c>
      <c r="AI284" s="181">
        <f t="shared" si="428"/>
        <v>0.6666547617984675</v>
      </c>
      <c r="AJ284" s="181">
        <f t="shared" si="429"/>
        <v>0.72923497267759552</v>
      </c>
      <c r="AK284" s="181">
        <f t="shared" si="430"/>
        <v>1.5253592390204411</v>
      </c>
      <c r="AM284" s="565">
        <f t="shared" si="431"/>
        <v>204.00000000000003</v>
      </c>
      <c r="AN284" s="474">
        <f t="shared" si="432"/>
        <v>319.67887970637162</v>
      </c>
      <c r="AP284">
        <f t="shared" si="433"/>
        <v>204.00000000000003</v>
      </c>
      <c r="AQ284">
        <f t="shared" si="434"/>
        <v>319.67887970637162</v>
      </c>
      <c r="AS284" s="6">
        <f t="shared" si="406"/>
        <v>3.1281390904476094</v>
      </c>
      <c r="AT284" s="6">
        <f t="shared" si="435"/>
        <v>1.2153916211293259</v>
      </c>
      <c r="AU284" s="6">
        <f t="shared" si="372"/>
        <v>1.9127474693182835</v>
      </c>
      <c r="AV284" s="6"/>
      <c r="AW284" s="181">
        <f t="shared" si="373"/>
        <v>0.38853503184713373</v>
      </c>
      <c r="AX284" s="181"/>
      <c r="CB284" s="583">
        <f t="shared" si="436"/>
        <v>-50</v>
      </c>
      <c r="CC284">
        <f t="shared" si="437"/>
        <v>-50</v>
      </c>
    </row>
    <row r="285" spans="5:81" x14ac:dyDescent="0.2">
      <c r="E285" s="178">
        <v>69</v>
      </c>
      <c r="F285" s="225">
        <f t="shared" si="438"/>
        <v>0.20699999999999999</v>
      </c>
      <c r="G285" s="225"/>
      <c r="H285" s="225">
        <f t="shared" si="408"/>
        <v>3.105</v>
      </c>
      <c r="I285" s="561">
        <f t="shared" si="409"/>
        <v>24</v>
      </c>
      <c r="J285" s="456">
        <f t="shared" si="410"/>
        <v>15.25</v>
      </c>
      <c r="K285" s="456">
        <f t="shared" si="411"/>
        <v>39.25</v>
      </c>
      <c r="L285" s="456"/>
      <c r="M285" s="225">
        <f t="shared" si="412"/>
        <v>0.38853503184713378</v>
      </c>
      <c r="N285" s="180">
        <f t="shared" si="413"/>
        <v>6.0844585987261137</v>
      </c>
      <c r="O285" s="180">
        <f t="shared" si="405"/>
        <v>3.105</v>
      </c>
      <c r="P285" s="225">
        <f t="shared" si="414"/>
        <v>0.40563057324840757</v>
      </c>
      <c r="Q285" s="225">
        <f t="shared" si="415"/>
        <v>15</v>
      </c>
      <c r="R285" s="225"/>
      <c r="S285" s="180">
        <f t="shared" si="416"/>
        <v>51.767519666521643</v>
      </c>
      <c r="T285" s="180">
        <f t="shared" si="417"/>
        <v>15</v>
      </c>
      <c r="U285" s="225">
        <f t="shared" si="418"/>
        <v>0.73995901639344253</v>
      </c>
      <c r="V285" s="225">
        <f t="shared" si="419"/>
        <v>1.2332650273224042</v>
      </c>
      <c r="W285" s="225">
        <f t="shared" si="420"/>
        <v>1.940876108572964</v>
      </c>
      <c r="X285" s="205">
        <f t="shared" si="421"/>
        <v>350</v>
      </c>
      <c r="Y285" s="456">
        <f t="shared" si="407"/>
        <v>315.04585246425029</v>
      </c>
      <c r="AA285" s="225">
        <f t="shared" si="422"/>
        <v>0.66606005459508633</v>
      </c>
      <c r="AB285" s="181">
        <f t="shared" si="423"/>
        <v>1.7470427661510461</v>
      </c>
      <c r="AC285" s="181">
        <f t="shared" si="424"/>
        <v>0.20363619503544039</v>
      </c>
      <c r="AD285" s="181"/>
      <c r="AE285" s="181">
        <f t="shared" si="425"/>
        <v>0.76065573770491812</v>
      </c>
      <c r="AF285" s="565">
        <f t="shared" si="426"/>
        <v>1876.783590963139</v>
      </c>
      <c r="AG285" s="548">
        <f t="shared" si="427"/>
        <v>3.8603278688524589E-2</v>
      </c>
      <c r="AI285" s="181">
        <f t="shared" si="428"/>
        <v>0.67153874476033448</v>
      </c>
      <c r="AJ285" s="181">
        <f t="shared" si="429"/>
        <v>0.73995901639344253</v>
      </c>
      <c r="AK285" s="181">
        <f t="shared" si="430"/>
        <v>1.5333029751062537</v>
      </c>
      <c r="AM285" s="565">
        <f t="shared" si="431"/>
        <v>207</v>
      </c>
      <c r="AN285" s="474">
        <f t="shared" si="432"/>
        <v>315.04585246425029</v>
      </c>
      <c r="AP285">
        <f t="shared" si="433"/>
        <v>207</v>
      </c>
      <c r="AQ285">
        <f t="shared" si="434"/>
        <v>315.04585246425029</v>
      </c>
      <c r="AS285" s="6">
        <f t="shared" si="406"/>
        <v>3.1741411358953684</v>
      </c>
      <c r="AT285" s="6">
        <f t="shared" si="435"/>
        <v>1.2332650273224042</v>
      </c>
      <c r="AU285" s="6">
        <f t="shared" si="372"/>
        <v>1.9408761085729642</v>
      </c>
      <c r="AV285" s="6"/>
      <c r="AW285" s="181">
        <f t="shared" si="373"/>
        <v>0.38853503184713373</v>
      </c>
      <c r="AX285" s="181"/>
      <c r="CB285" s="583">
        <f t="shared" si="436"/>
        <v>-50</v>
      </c>
      <c r="CC285">
        <f t="shared" si="437"/>
        <v>-50</v>
      </c>
    </row>
    <row r="286" spans="5:81" x14ac:dyDescent="0.2">
      <c r="E286" s="178">
        <v>70</v>
      </c>
      <c r="F286" s="225">
        <f t="shared" si="438"/>
        <v>0.21</v>
      </c>
      <c r="G286" s="225"/>
      <c r="H286" s="225">
        <f t="shared" si="408"/>
        <v>3.15</v>
      </c>
      <c r="I286" s="561">
        <f t="shared" si="409"/>
        <v>24</v>
      </c>
      <c r="J286" s="456">
        <f t="shared" si="410"/>
        <v>15.25</v>
      </c>
      <c r="K286" s="456">
        <f t="shared" si="411"/>
        <v>39.25</v>
      </c>
      <c r="L286" s="456"/>
      <c r="M286" s="225">
        <f t="shared" si="412"/>
        <v>0.38853503184713378</v>
      </c>
      <c r="N286" s="180">
        <f t="shared" si="413"/>
        <v>6.0844585987261137</v>
      </c>
      <c r="O286" s="180">
        <f t="shared" si="405"/>
        <v>3.15</v>
      </c>
      <c r="P286" s="225">
        <f t="shared" si="414"/>
        <v>0.40563057324840757</v>
      </c>
      <c r="Q286" s="225">
        <f t="shared" si="415"/>
        <v>15</v>
      </c>
      <c r="R286" s="225"/>
      <c r="S286" s="180">
        <f t="shared" si="416"/>
        <v>50.689216014374431</v>
      </c>
      <c r="T286" s="180">
        <f t="shared" si="417"/>
        <v>15</v>
      </c>
      <c r="U286" s="225">
        <f t="shared" si="418"/>
        <v>0.75068306010928953</v>
      </c>
      <c r="V286" s="225">
        <f t="shared" si="419"/>
        <v>1.2511384335154827</v>
      </c>
      <c r="W286" s="225">
        <f t="shared" si="420"/>
        <v>1.9690047478276449</v>
      </c>
      <c r="X286" s="205">
        <f t="shared" si="421"/>
        <v>350</v>
      </c>
      <c r="Y286" s="456">
        <f t="shared" si="407"/>
        <v>310.54519742904671</v>
      </c>
      <c r="AA286" s="225">
        <f t="shared" si="422"/>
        <v>0.66606005459508633</v>
      </c>
      <c r="AB286" s="181">
        <f t="shared" si="423"/>
        <v>1.7470427661510461</v>
      </c>
      <c r="AC286" s="181">
        <f t="shared" si="424"/>
        <v>0.20363619503544039</v>
      </c>
      <c r="AD286" s="181"/>
      <c r="AE286" s="181">
        <f t="shared" si="425"/>
        <v>0.76065573770491812</v>
      </c>
      <c r="AF286" s="565">
        <f t="shared" si="426"/>
        <v>1903.9833531510105</v>
      </c>
      <c r="AG286" s="548">
        <f t="shared" si="427"/>
        <v>3.8603278688524589E-2</v>
      </c>
      <c r="AI286" s="181">
        <f t="shared" si="428"/>
        <v>0.6763874629234341</v>
      </c>
      <c r="AJ286" s="181">
        <f t="shared" si="429"/>
        <v>0.75068306010928953</v>
      </c>
      <c r="AK286" s="181">
        <f t="shared" si="430"/>
        <v>1.5412467111920662</v>
      </c>
      <c r="AM286" s="565">
        <f t="shared" si="431"/>
        <v>210</v>
      </c>
      <c r="AN286" s="474">
        <f t="shared" si="432"/>
        <v>310.54519742904671</v>
      </c>
      <c r="AP286">
        <f t="shared" si="433"/>
        <v>210</v>
      </c>
      <c r="AQ286">
        <f t="shared" si="434"/>
        <v>310.54519742904671</v>
      </c>
      <c r="AS286" s="6">
        <f t="shared" si="406"/>
        <v>3.2201431813431269</v>
      </c>
      <c r="AT286" s="6">
        <f t="shared" si="435"/>
        <v>1.2511384335154827</v>
      </c>
      <c r="AU286" s="6">
        <f t="shared" si="372"/>
        <v>1.9690047478276442</v>
      </c>
      <c r="AV286" s="6"/>
      <c r="AW286" s="181">
        <f t="shared" si="373"/>
        <v>0.38853503184713384</v>
      </c>
      <c r="AX286" s="181"/>
      <c r="CB286" s="583">
        <f t="shared" si="436"/>
        <v>-50</v>
      </c>
      <c r="CC286">
        <f t="shared" si="437"/>
        <v>0</v>
      </c>
    </row>
    <row r="287" spans="5:81" x14ac:dyDescent="0.2">
      <c r="E287" s="178">
        <v>71</v>
      </c>
      <c r="F287" s="225">
        <f t="shared" si="438"/>
        <v>0.21299999999999999</v>
      </c>
      <c r="G287" s="225"/>
      <c r="H287" s="225">
        <f t="shared" si="408"/>
        <v>3.1949999999999998</v>
      </c>
      <c r="I287" s="561">
        <f t="shared" si="409"/>
        <v>24</v>
      </c>
      <c r="J287" s="456">
        <f t="shared" si="410"/>
        <v>15.25</v>
      </c>
      <c r="K287" s="456">
        <f t="shared" si="411"/>
        <v>39.25</v>
      </c>
      <c r="L287" s="456"/>
      <c r="M287" s="225">
        <f t="shared" si="412"/>
        <v>0.38853503184713378</v>
      </c>
      <c r="N287" s="180">
        <f t="shared" si="413"/>
        <v>6.0844585987261137</v>
      </c>
      <c r="O287" s="180">
        <f t="shared" si="405"/>
        <v>3.1949999999999998</v>
      </c>
      <c r="P287" s="225">
        <f t="shared" si="414"/>
        <v>0.40563057324840757</v>
      </c>
      <c r="Q287" s="225">
        <f t="shared" si="415"/>
        <v>15</v>
      </c>
      <c r="R287" s="225"/>
      <c r="S287" s="180">
        <f t="shared" si="416"/>
        <v>49.641387996838873</v>
      </c>
      <c r="T287" s="180">
        <f t="shared" si="417"/>
        <v>15</v>
      </c>
      <c r="U287" s="225">
        <f t="shared" si="418"/>
        <v>0.76140710382513654</v>
      </c>
      <c r="V287" s="225">
        <f t="shared" si="419"/>
        <v>1.269011839708561</v>
      </c>
      <c r="W287" s="225">
        <f t="shared" si="420"/>
        <v>1.9971333870823256</v>
      </c>
      <c r="X287" s="205">
        <f t="shared" si="421"/>
        <v>350</v>
      </c>
      <c r="Y287" s="456">
        <f t="shared" si="407"/>
        <v>306.17132140891931</v>
      </c>
      <c r="AA287" s="225">
        <f t="shared" si="422"/>
        <v>0.66606005459508633</v>
      </c>
      <c r="AB287" s="181">
        <f t="shared" si="423"/>
        <v>1.7470427661510461</v>
      </c>
      <c r="AC287" s="181">
        <f t="shared" si="424"/>
        <v>0.20363619503544039</v>
      </c>
      <c r="AD287" s="181"/>
      <c r="AE287" s="181">
        <f t="shared" si="425"/>
        <v>0.76065573770491812</v>
      </c>
      <c r="AF287" s="565">
        <f t="shared" si="426"/>
        <v>1931.1831153388821</v>
      </c>
      <c r="AG287" s="548">
        <f t="shared" si="427"/>
        <v>3.8603278688524589E-2</v>
      </c>
      <c r="AI287" s="181">
        <f t="shared" si="428"/>
        <v>0.68120166932099802</v>
      </c>
      <c r="AJ287" s="181">
        <f t="shared" si="429"/>
        <v>0.76140710382513654</v>
      </c>
      <c r="AK287" s="181">
        <f t="shared" si="430"/>
        <v>1.549190447277879</v>
      </c>
      <c r="AM287" s="565">
        <f t="shared" si="431"/>
        <v>213</v>
      </c>
      <c r="AN287" s="474">
        <f t="shared" si="432"/>
        <v>306.17132140891931</v>
      </c>
      <c r="AP287">
        <f t="shared" si="433"/>
        <v>213</v>
      </c>
      <c r="AQ287">
        <f t="shared" si="434"/>
        <v>306.17132140891931</v>
      </c>
      <c r="AS287" s="6">
        <f t="shared" si="406"/>
        <v>3.2661452267908859</v>
      </c>
      <c r="AT287" s="6">
        <f t="shared" si="435"/>
        <v>1.269011839708561</v>
      </c>
      <c r="AU287" s="6">
        <f t="shared" si="372"/>
        <v>1.9971333870823249</v>
      </c>
      <c r="AV287" s="6"/>
      <c r="AW287" s="181">
        <f t="shared" si="373"/>
        <v>0.38853503184713384</v>
      </c>
      <c r="AX287" s="181"/>
      <c r="CB287" s="583">
        <f t="shared" si="436"/>
        <v>-50</v>
      </c>
      <c r="CC287">
        <f t="shared" si="437"/>
        <v>-50</v>
      </c>
    </row>
    <row r="288" spans="5:81" x14ac:dyDescent="0.2">
      <c r="E288" s="178">
        <v>72</v>
      </c>
      <c r="F288" s="225">
        <f t="shared" si="438"/>
        <v>0.216</v>
      </c>
      <c r="G288" s="225"/>
      <c r="H288" s="225">
        <f t="shared" si="408"/>
        <v>3.2399999999999998</v>
      </c>
      <c r="I288" s="561">
        <f t="shared" si="409"/>
        <v>24</v>
      </c>
      <c r="J288" s="456">
        <f t="shared" si="410"/>
        <v>15.25</v>
      </c>
      <c r="K288" s="456">
        <f t="shared" si="411"/>
        <v>39.25</v>
      </c>
      <c r="L288" s="456"/>
      <c r="M288" s="225">
        <f t="shared" si="412"/>
        <v>0.38853503184713378</v>
      </c>
      <c r="N288" s="180">
        <f t="shared" si="413"/>
        <v>6.0844585987261137</v>
      </c>
      <c r="O288" s="180">
        <f t="shared" si="405"/>
        <v>3.2399999999999998</v>
      </c>
      <c r="P288" s="225">
        <f t="shared" si="414"/>
        <v>0.40563057324840757</v>
      </c>
      <c r="Q288" s="225">
        <f t="shared" si="415"/>
        <v>15</v>
      </c>
      <c r="R288" s="225"/>
      <c r="S288" s="180">
        <f t="shared" si="416"/>
        <v>48.622767755450703</v>
      </c>
      <c r="T288" s="180">
        <f t="shared" si="417"/>
        <v>15</v>
      </c>
      <c r="U288" s="225">
        <f t="shared" si="418"/>
        <v>0.77213114754098344</v>
      </c>
      <c r="V288" s="225">
        <f t="shared" si="419"/>
        <v>1.2868852459016393</v>
      </c>
      <c r="W288" s="225">
        <f t="shared" si="420"/>
        <v>2.025262026337006</v>
      </c>
      <c r="X288" s="205">
        <f t="shared" si="421"/>
        <v>350</v>
      </c>
      <c r="Y288" s="456">
        <f t="shared" si="407"/>
        <v>301.91894194490646</v>
      </c>
      <c r="AA288" s="225">
        <f t="shared" si="422"/>
        <v>0.66606005459508633</v>
      </c>
      <c r="AB288" s="181">
        <f t="shared" si="423"/>
        <v>1.7470427661510461</v>
      </c>
      <c r="AC288" s="181">
        <f t="shared" si="424"/>
        <v>0.20363619503544039</v>
      </c>
      <c r="AD288" s="181"/>
      <c r="AE288" s="181">
        <f t="shared" si="425"/>
        <v>0.76065573770491812</v>
      </c>
      <c r="AF288" s="565">
        <f t="shared" si="426"/>
        <v>1958.3828775267539</v>
      </c>
      <c r="AG288" s="548">
        <f t="shared" si="427"/>
        <v>3.8603278688524589E-2</v>
      </c>
      <c r="AI288" s="181">
        <f t="shared" si="428"/>
        <v>0.68598209056172055</v>
      </c>
      <c r="AJ288" s="181">
        <f t="shared" si="429"/>
        <v>0.77213114754098344</v>
      </c>
      <c r="AK288" s="181">
        <f t="shared" si="430"/>
        <v>1.5571341833636914</v>
      </c>
      <c r="AM288" s="565">
        <f t="shared" si="431"/>
        <v>216</v>
      </c>
      <c r="AN288" s="474">
        <f t="shared" si="432"/>
        <v>301.91894194490646</v>
      </c>
      <c r="AP288">
        <f t="shared" si="433"/>
        <v>216</v>
      </c>
      <c r="AQ288">
        <f t="shared" si="434"/>
        <v>301.91894194490646</v>
      </c>
      <c r="AS288" s="6">
        <f t="shared" si="406"/>
        <v>3.3121472722386458</v>
      </c>
      <c r="AT288" s="6">
        <f t="shared" si="435"/>
        <v>1.2868852459016393</v>
      </c>
      <c r="AU288" s="6">
        <f t="shared" si="372"/>
        <v>2.0252620263370065</v>
      </c>
      <c r="AV288" s="6"/>
      <c r="AW288" s="181">
        <f t="shared" si="373"/>
        <v>0.38853503184713373</v>
      </c>
      <c r="AX288" s="181"/>
      <c r="CB288" s="583">
        <f t="shared" si="436"/>
        <v>-50</v>
      </c>
      <c r="CC288">
        <f t="shared" si="437"/>
        <v>-50</v>
      </c>
    </row>
    <row r="289" spans="5:81" x14ac:dyDescent="0.2">
      <c r="E289" s="178">
        <v>73</v>
      </c>
      <c r="F289" s="225">
        <f t="shared" si="438"/>
        <v>0.219</v>
      </c>
      <c r="G289" s="225"/>
      <c r="H289" s="225">
        <f t="shared" si="408"/>
        <v>3.2850000000000001</v>
      </c>
      <c r="I289" s="561">
        <f t="shared" si="409"/>
        <v>24</v>
      </c>
      <c r="J289" s="456">
        <f t="shared" si="410"/>
        <v>15.25</v>
      </c>
      <c r="K289" s="456">
        <f t="shared" si="411"/>
        <v>39.25</v>
      </c>
      <c r="L289" s="456"/>
      <c r="M289" s="225">
        <f t="shared" si="412"/>
        <v>0.38853503184713378</v>
      </c>
      <c r="N289" s="180">
        <f t="shared" si="413"/>
        <v>6.0844585987261137</v>
      </c>
      <c r="O289" s="180">
        <f t="shared" si="405"/>
        <v>3.2850000000000001</v>
      </c>
      <c r="P289" s="225">
        <f t="shared" si="414"/>
        <v>0.40563057324840757</v>
      </c>
      <c r="Q289" s="225">
        <f t="shared" si="415"/>
        <v>15</v>
      </c>
      <c r="R289" s="225"/>
      <c r="S289" s="180">
        <f t="shared" si="416"/>
        <v>47.632156953273991</v>
      </c>
      <c r="T289" s="180">
        <f t="shared" si="417"/>
        <v>15</v>
      </c>
      <c r="U289" s="225">
        <f t="shared" si="418"/>
        <v>0.78285519125683056</v>
      </c>
      <c r="V289" s="225">
        <f t="shared" si="419"/>
        <v>1.3047586520947176</v>
      </c>
      <c r="W289" s="225">
        <f t="shared" si="420"/>
        <v>2.0533906655916869</v>
      </c>
      <c r="X289" s="205">
        <f t="shared" si="421"/>
        <v>350</v>
      </c>
      <c r="Y289" s="456">
        <f t="shared" si="407"/>
        <v>297.78306602785301</v>
      </c>
      <c r="AA289" s="225">
        <f t="shared" si="422"/>
        <v>0.66606005459508633</v>
      </c>
      <c r="AB289" s="181">
        <f t="shared" si="423"/>
        <v>1.7470427661510461</v>
      </c>
      <c r="AC289" s="181">
        <f t="shared" si="424"/>
        <v>0.20363619503544039</v>
      </c>
      <c r="AD289" s="181"/>
      <c r="AE289" s="181">
        <f t="shared" si="425"/>
        <v>0.76065573770491812</v>
      </c>
      <c r="AF289" s="565">
        <f t="shared" si="426"/>
        <v>1985.5826397146254</v>
      </c>
      <c r="AG289" s="548">
        <f t="shared" si="427"/>
        <v>3.8603278688524589E-2</v>
      </c>
      <c r="AI289" s="181">
        <f t="shared" si="428"/>
        <v>0.69072942810998206</v>
      </c>
      <c r="AJ289" s="181">
        <f t="shared" si="429"/>
        <v>0.78285519125683056</v>
      </c>
      <c r="AK289" s="181">
        <f t="shared" si="430"/>
        <v>1.5650779194495041</v>
      </c>
      <c r="AM289" s="565">
        <f t="shared" si="431"/>
        <v>219</v>
      </c>
      <c r="AN289" s="474">
        <f t="shared" si="432"/>
        <v>297.78306602785301</v>
      </c>
      <c r="AP289">
        <f t="shared" si="433"/>
        <v>219</v>
      </c>
      <c r="AQ289">
        <f t="shared" si="434"/>
        <v>297.78306602785301</v>
      </c>
      <c r="AS289" s="6">
        <f t="shared" si="406"/>
        <v>3.3581493176864039</v>
      </c>
      <c r="AT289" s="6">
        <f t="shared" si="435"/>
        <v>1.3047586520947176</v>
      </c>
      <c r="AU289" s="6">
        <f t="shared" si="372"/>
        <v>2.053390665591686</v>
      </c>
      <c r="AV289" s="6"/>
      <c r="AW289" s="181">
        <f t="shared" si="373"/>
        <v>0.38853503184713384</v>
      </c>
      <c r="AX289" s="181"/>
      <c r="CB289" s="583">
        <f t="shared" si="436"/>
        <v>-50</v>
      </c>
      <c r="CC289">
        <f t="shared" si="437"/>
        <v>-50</v>
      </c>
    </row>
    <row r="290" spans="5:81" x14ac:dyDescent="0.2">
      <c r="E290" s="178">
        <v>74</v>
      </c>
      <c r="F290" s="225">
        <f t="shared" si="438"/>
        <v>0.222</v>
      </c>
      <c r="G290" s="225"/>
      <c r="H290" s="225">
        <f t="shared" si="408"/>
        <v>3.33</v>
      </c>
      <c r="I290" s="561">
        <f t="shared" si="409"/>
        <v>24</v>
      </c>
      <c r="J290" s="456">
        <f t="shared" si="410"/>
        <v>15.25</v>
      </c>
      <c r="K290" s="456">
        <f t="shared" si="411"/>
        <v>39.25</v>
      </c>
      <c r="L290" s="456"/>
      <c r="M290" s="225">
        <f t="shared" si="412"/>
        <v>0.38853503184713378</v>
      </c>
      <c r="N290" s="180">
        <f t="shared" si="413"/>
        <v>6.0844585987261137</v>
      </c>
      <c r="O290" s="180">
        <f t="shared" si="405"/>
        <v>3.33</v>
      </c>
      <c r="P290" s="225">
        <f t="shared" si="414"/>
        <v>0.40563057324840757</v>
      </c>
      <c r="Q290" s="225">
        <f t="shared" si="415"/>
        <v>15</v>
      </c>
      <c r="R290" s="225"/>
      <c r="S290" s="180">
        <f t="shared" si="416"/>
        <v>46.668422079052014</v>
      </c>
      <c r="T290" s="180">
        <f t="shared" si="417"/>
        <v>15</v>
      </c>
      <c r="U290" s="225">
        <f t="shared" si="418"/>
        <v>0.79357923497267757</v>
      </c>
      <c r="V290" s="225">
        <f t="shared" si="419"/>
        <v>1.322632058287796</v>
      </c>
      <c r="W290" s="225">
        <f t="shared" si="420"/>
        <v>2.0815193048463678</v>
      </c>
      <c r="X290" s="205">
        <f t="shared" si="421"/>
        <v>350</v>
      </c>
      <c r="Y290" s="456">
        <f t="shared" si="407"/>
        <v>293.75897054099011</v>
      </c>
      <c r="AA290" s="225">
        <f t="shared" si="422"/>
        <v>0.66606005459508633</v>
      </c>
      <c r="AB290" s="181">
        <f t="shared" si="423"/>
        <v>1.7470427661510461</v>
      </c>
      <c r="AC290" s="181">
        <f t="shared" si="424"/>
        <v>0.20363619503544039</v>
      </c>
      <c r="AD290" s="181"/>
      <c r="AE290" s="181">
        <f t="shared" si="425"/>
        <v>0.76065573770491812</v>
      </c>
      <c r="AF290" s="565">
        <f t="shared" si="426"/>
        <v>2012.782401902497</v>
      </c>
      <c r="AG290" s="548">
        <f t="shared" si="427"/>
        <v>3.8603278688524589E-2</v>
      </c>
      <c r="AI290" s="181">
        <f t="shared" si="428"/>
        <v>0.69544435948741234</v>
      </c>
      <c r="AJ290" s="181">
        <f t="shared" si="429"/>
        <v>0.79357923497267757</v>
      </c>
      <c r="AK290" s="181">
        <f t="shared" si="430"/>
        <v>1.5730216555353167</v>
      </c>
      <c r="AM290" s="565">
        <f t="shared" si="431"/>
        <v>222</v>
      </c>
      <c r="AN290" s="474">
        <f t="shared" si="432"/>
        <v>293.75897054099011</v>
      </c>
      <c r="AP290">
        <f t="shared" si="433"/>
        <v>222</v>
      </c>
      <c r="AQ290">
        <f t="shared" si="434"/>
        <v>293.75897054099011</v>
      </c>
      <c r="AS290" s="6">
        <f t="shared" si="406"/>
        <v>3.4041513631341633</v>
      </c>
      <c r="AT290" s="6">
        <f t="shared" si="435"/>
        <v>1.322632058287796</v>
      </c>
      <c r="AU290" s="6">
        <f t="shared" si="372"/>
        <v>2.0815193048463674</v>
      </c>
      <c r="AV290" s="6"/>
      <c r="AW290" s="181">
        <f t="shared" si="373"/>
        <v>0.38853503184713378</v>
      </c>
      <c r="AX290" s="181"/>
      <c r="CB290" s="583">
        <f t="shared" si="436"/>
        <v>-50</v>
      </c>
      <c r="CC290">
        <f t="shared" si="437"/>
        <v>-50</v>
      </c>
    </row>
    <row r="291" spans="5:81" x14ac:dyDescent="0.2">
      <c r="E291" s="178">
        <v>75</v>
      </c>
      <c r="F291" s="225">
        <f t="shared" si="438"/>
        <v>0.22499999999999998</v>
      </c>
      <c r="G291" s="225"/>
      <c r="H291" s="225">
        <f t="shared" si="408"/>
        <v>3.3749999999999996</v>
      </c>
      <c r="I291" s="561">
        <f t="shared" si="409"/>
        <v>24</v>
      </c>
      <c r="J291" s="456">
        <f t="shared" si="410"/>
        <v>15.25</v>
      </c>
      <c r="K291" s="456">
        <f t="shared" si="411"/>
        <v>39.25</v>
      </c>
      <c r="L291" s="456"/>
      <c r="M291" s="225">
        <f t="shared" si="412"/>
        <v>0.38853503184713378</v>
      </c>
      <c r="N291" s="180">
        <f t="shared" si="413"/>
        <v>6.0844585987261137</v>
      </c>
      <c r="O291" s="180">
        <f t="shared" si="405"/>
        <v>3.3749999999999996</v>
      </c>
      <c r="P291" s="225">
        <f t="shared" si="414"/>
        <v>0.40563057324840757</v>
      </c>
      <c r="Q291" s="225">
        <f t="shared" si="415"/>
        <v>15</v>
      </c>
      <c r="R291" s="225"/>
      <c r="S291" s="180">
        <f t="shared" si="416"/>
        <v>45.730490127082533</v>
      </c>
      <c r="T291" s="180">
        <f t="shared" si="417"/>
        <v>15</v>
      </c>
      <c r="U291" s="225">
        <f t="shared" si="418"/>
        <v>0.80430327868852436</v>
      </c>
      <c r="V291" s="225">
        <f t="shared" si="419"/>
        <v>1.340505464480874</v>
      </c>
      <c r="W291" s="225">
        <f t="shared" si="420"/>
        <v>2.1096479441010474</v>
      </c>
      <c r="X291" s="205">
        <f t="shared" si="421"/>
        <v>350</v>
      </c>
      <c r="Y291" s="456">
        <f t="shared" si="407"/>
        <v>289.84218426711033</v>
      </c>
      <c r="AA291" s="225">
        <f t="shared" si="422"/>
        <v>0.66606005459508633</v>
      </c>
      <c r="AB291" s="181">
        <f t="shared" si="423"/>
        <v>1.7470427661510461</v>
      </c>
      <c r="AC291" s="181">
        <f t="shared" si="424"/>
        <v>0.20363619503544039</v>
      </c>
      <c r="AD291" s="181"/>
      <c r="AE291" s="181">
        <f t="shared" si="425"/>
        <v>0.76065573770491812</v>
      </c>
      <c r="AF291" s="565">
        <f t="shared" si="426"/>
        <v>2039.9821640903685</v>
      </c>
      <c r="AG291" s="548">
        <f t="shared" si="427"/>
        <v>3.8603278688524589E-2</v>
      </c>
      <c r="AI291" s="181">
        <f t="shared" si="428"/>
        <v>0.70012753940162309</v>
      </c>
      <c r="AJ291" s="181">
        <f t="shared" si="429"/>
        <v>0.80430327868852436</v>
      </c>
      <c r="AK291" s="181">
        <f t="shared" si="430"/>
        <v>1.5809653916211293</v>
      </c>
      <c r="AM291" s="565">
        <f t="shared" si="431"/>
        <v>224.99999999999997</v>
      </c>
      <c r="AN291" s="474">
        <f t="shared" si="432"/>
        <v>289.84218426711033</v>
      </c>
      <c r="AP291">
        <f t="shared" si="433"/>
        <v>224.99999999999997</v>
      </c>
      <c r="AQ291">
        <f t="shared" si="434"/>
        <v>289.84218426711033</v>
      </c>
      <c r="AS291" s="6">
        <f t="shared" si="406"/>
        <v>3.4501534085819214</v>
      </c>
      <c r="AT291" s="6">
        <f t="shared" si="435"/>
        <v>1.340505464480874</v>
      </c>
      <c r="AU291" s="6">
        <f t="shared" si="372"/>
        <v>2.1096479441010474</v>
      </c>
      <c r="AV291" s="6"/>
      <c r="AW291" s="181">
        <f t="shared" si="373"/>
        <v>0.38853503184713378</v>
      </c>
      <c r="AX291" s="181"/>
      <c r="CB291" s="583">
        <f t="shared" si="436"/>
        <v>-50</v>
      </c>
      <c r="CC291">
        <f t="shared" si="437"/>
        <v>-50</v>
      </c>
    </row>
    <row r="292" spans="5:81" x14ac:dyDescent="0.2">
      <c r="E292" s="178">
        <v>76</v>
      </c>
      <c r="F292" s="225">
        <f t="shared" si="438"/>
        <v>0.22799999999999998</v>
      </c>
      <c r="G292" s="225"/>
      <c r="H292" s="225">
        <f t="shared" si="408"/>
        <v>3.42</v>
      </c>
      <c r="I292" s="561">
        <f t="shared" si="409"/>
        <v>24</v>
      </c>
      <c r="J292" s="456">
        <f t="shared" si="410"/>
        <v>15.25</v>
      </c>
      <c r="K292" s="456">
        <f t="shared" si="411"/>
        <v>39.25</v>
      </c>
      <c r="L292" s="456"/>
      <c r="M292" s="225">
        <f t="shared" si="412"/>
        <v>0.38853503184713378</v>
      </c>
      <c r="N292" s="180">
        <f t="shared" si="413"/>
        <v>6.0844585987261137</v>
      </c>
      <c r="O292" s="180">
        <f t="shared" si="405"/>
        <v>3.42</v>
      </c>
      <c r="P292" s="225">
        <f t="shared" si="414"/>
        <v>0.40563057324840757</v>
      </c>
      <c r="Q292" s="225">
        <f t="shared" si="415"/>
        <v>15</v>
      </c>
      <c r="R292" s="225"/>
      <c r="S292" s="180">
        <f t="shared" si="416"/>
        <v>44.817344618213795</v>
      </c>
      <c r="T292" s="180">
        <f t="shared" si="417"/>
        <v>15</v>
      </c>
      <c r="U292" s="225">
        <f t="shared" si="418"/>
        <v>0.81502732240437148</v>
      </c>
      <c r="V292" s="225">
        <f t="shared" si="419"/>
        <v>1.3583788706739528</v>
      </c>
      <c r="W292" s="225">
        <f t="shared" si="420"/>
        <v>2.1377765833557287</v>
      </c>
      <c r="X292" s="205">
        <f t="shared" si="421"/>
        <v>350</v>
      </c>
      <c r="Y292" s="456">
        <f t="shared" si="407"/>
        <v>286.02847131622724</v>
      </c>
      <c r="AA292" s="225">
        <f t="shared" si="422"/>
        <v>0.66606005459508633</v>
      </c>
      <c r="AB292" s="181">
        <f t="shared" si="423"/>
        <v>1.7470427661510461</v>
      </c>
      <c r="AC292" s="181">
        <f t="shared" si="424"/>
        <v>0.20363619503544039</v>
      </c>
      <c r="AD292" s="181"/>
      <c r="AE292" s="181">
        <f t="shared" si="425"/>
        <v>0.76065573770491812</v>
      </c>
      <c r="AF292" s="565">
        <f t="shared" si="426"/>
        <v>2067.1819262782401</v>
      </c>
      <c r="AG292" s="548">
        <f t="shared" si="427"/>
        <v>3.8603278688524589E-2</v>
      </c>
      <c r="AI292" s="181">
        <f t="shared" si="428"/>
        <v>0.70477960080743374</v>
      </c>
      <c r="AJ292" s="181">
        <f t="shared" si="429"/>
        <v>0.81502732240437148</v>
      </c>
      <c r="AK292" s="181">
        <f t="shared" si="430"/>
        <v>1.5889091277069418</v>
      </c>
      <c r="AM292" s="565">
        <f t="shared" si="431"/>
        <v>227.99999999999997</v>
      </c>
      <c r="AN292" s="474">
        <f t="shared" si="432"/>
        <v>286.02847131622724</v>
      </c>
      <c r="AP292">
        <f t="shared" si="433"/>
        <v>227.99999999999997</v>
      </c>
      <c r="AQ292">
        <f t="shared" si="434"/>
        <v>286.02847131622724</v>
      </c>
      <c r="AS292" s="6">
        <f t="shared" si="406"/>
        <v>3.4961554540296809</v>
      </c>
      <c r="AT292" s="6">
        <f t="shared" si="435"/>
        <v>1.3583788706739528</v>
      </c>
      <c r="AU292" s="6">
        <f t="shared" si="372"/>
        <v>2.1377765833557278</v>
      </c>
      <c r="AV292" s="6"/>
      <c r="AW292" s="181">
        <f t="shared" si="373"/>
        <v>0.38853503184713384</v>
      </c>
      <c r="AX292" s="181"/>
      <c r="CB292" s="583">
        <f t="shared" si="436"/>
        <v>-50</v>
      </c>
      <c r="CC292">
        <f t="shared" si="437"/>
        <v>-50</v>
      </c>
    </row>
    <row r="293" spans="5:81" x14ac:dyDescent="0.2">
      <c r="E293" s="178">
        <v>77</v>
      </c>
      <c r="F293" s="225">
        <f t="shared" si="438"/>
        <v>0.23099999999999998</v>
      </c>
      <c r="G293" s="225"/>
      <c r="H293" s="225">
        <f t="shared" si="408"/>
        <v>3.4649999999999999</v>
      </c>
      <c r="I293" s="561">
        <f t="shared" si="409"/>
        <v>24</v>
      </c>
      <c r="J293" s="456">
        <f t="shared" si="410"/>
        <v>15.25</v>
      </c>
      <c r="K293" s="456">
        <f t="shared" si="411"/>
        <v>39.25</v>
      </c>
      <c r="L293" s="456"/>
      <c r="M293" s="225">
        <f t="shared" si="412"/>
        <v>0.38853503184713378</v>
      </c>
      <c r="N293" s="180">
        <f t="shared" si="413"/>
        <v>6.0844585987261137</v>
      </c>
      <c r="O293" s="180">
        <f t="shared" si="405"/>
        <v>3.4649999999999999</v>
      </c>
      <c r="P293" s="225">
        <f t="shared" si="414"/>
        <v>0.40563057324840757</v>
      </c>
      <c r="Q293" s="225">
        <f t="shared" si="415"/>
        <v>15</v>
      </c>
      <c r="R293" s="225"/>
      <c r="S293" s="180">
        <f t="shared" si="416"/>
        <v>43.928021930952568</v>
      </c>
      <c r="T293" s="180">
        <f t="shared" si="417"/>
        <v>15</v>
      </c>
      <c r="U293" s="225">
        <f t="shared" si="418"/>
        <v>0.82575136612021849</v>
      </c>
      <c r="V293" s="225">
        <f t="shared" si="419"/>
        <v>1.3762522768670311</v>
      </c>
      <c r="W293" s="225">
        <f t="shared" si="420"/>
        <v>2.1659052226104096</v>
      </c>
      <c r="X293" s="205">
        <f t="shared" si="421"/>
        <v>350</v>
      </c>
      <c r="Y293" s="456">
        <f t="shared" si="407"/>
        <v>282.31381584458785</v>
      </c>
      <c r="AA293" s="225">
        <f t="shared" si="422"/>
        <v>0.66606005459508633</v>
      </c>
      <c r="AB293" s="181">
        <f t="shared" si="423"/>
        <v>1.7470427661510461</v>
      </c>
      <c r="AC293" s="181">
        <f t="shared" si="424"/>
        <v>0.20363619503544039</v>
      </c>
      <c r="AD293" s="181"/>
      <c r="AE293" s="181">
        <f t="shared" si="425"/>
        <v>0.76065573770491812</v>
      </c>
      <c r="AF293" s="565">
        <f t="shared" si="426"/>
        <v>2094.3816884661119</v>
      </c>
      <c r="AG293" s="548">
        <f t="shared" si="427"/>
        <v>3.8603278688524589E-2</v>
      </c>
      <c r="AI293" s="181">
        <f t="shared" si="428"/>
        <v>0.70940115590545805</v>
      </c>
      <c r="AJ293" s="181">
        <f t="shared" si="429"/>
        <v>0.82575136612021849</v>
      </c>
      <c r="AK293" s="181">
        <f t="shared" si="430"/>
        <v>1.5968528637927544</v>
      </c>
      <c r="AM293" s="565">
        <f t="shared" si="431"/>
        <v>230.99999999999997</v>
      </c>
      <c r="AN293" s="474">
        <f t="shared" si="432"/>
        <v>282.31381584458785</v>
      </c>
      <c r="AP293">
        <f t="shared" si="433"/>
        <v>230.99999999999997</v>
      </c>
      <c r="AQ293">
        <f t="shared" si="434"/>
        <v>282.31381584458785</v>
      </c>
      <c r="AS293" s="6">
        <f t="shared" si="406"/>
        <v>3.5421574994774407</v>
      </c>
      <c r="AT293" s="6">
        <f t="shared" si="435"/>
        <v>1.3762522768670311</v>
      </c>
      <c r="AU293" s="6">
        <f t="shared" si="372"/>
        <v>2.1659052226104096</v>
      </c>
      <c r="AV293" s="6"/>
      <c r="AW293" s="181">
        <f t="shared" si="373"/>
        <v>0.38853503184713378</v>
      </c>
      <c r="AX293" s="181"/>
      <c r="CB293" s="583">
        <f t="shared" si="436"/>
        <v>-50</v>
      </c>
      <c r="CC293">
        <f t="shared" si="437"/>
        <v>-50</v>
      </c>
    </row>
    <row r="294" spans="5:81" x14ac:dyDescent="0.2">
      <c r="E294" s="178">
        <v>78</v>
      </c>
      <c r="F294" s="225">
        <f t="shared" si="438"/>
        <v>0.23399999999999999</v>
      </c>
      <c r="G294" s="225"/>
      <c r="H294" s="225">
        <f t="shared" si="408"/>
        <v>3.51</v>
      </c>
      <c r="I294" s="561">
        <f t="shared" si="409"/>
        <v>24</v>
      </c>
      <c r="J294" s="456">
        <f t="shared" si="410"/>
        <v>15.25</v>
      </c>
      <c r="K294" s="456">
        <f t="shared" si="411"/>
        <v>39.25</v>
      </c>
      <c r="L294" s="456"/>
      <c r="M294" s="225">
        <f t="shared" si="412"/>
        <v>0.38853503184713378</v>
      </c>
      <c r="N294" s="180">
        <f t="shared" si="413"/>
        <v>6.0844585987261137</v>
      </c>
      <c r="O294" s="180">
        <f t="shared" si="405"/>
        <v>3.51</v>
      </c>
      <c r="P294" s="225">
        <f t="shared" si="414"/>
        <v>0.40563057324840757</v>
      </c>
      <c r="Q294" s="225">
        <f t="shared" si="415"/>
        <v>15</v>
      </c>
      <c r="R294" s="225"/>
      <c r="S294" s="180">
        <f t="shared" si="416"/>
        <v>43.061607914856197</v>
      </c>
      <c r="T294" s="180">
        <f t="shared" si="417"/>
        <v>15</v>
      </c>
      <c r="U294" s="225">
        <f t="shared" si="418"/>
        <v>0.8364754098360655</v>
      </c>
      <c r="V294" s="225">
        <f t="shared" si="419"/>
        <v>1.394125683060109</v>
      </c>
      <c r="W294" s="225">
        <f t="shared" si="420"/>
        <v>2.1940338618650901</v>
      </c>
      <c r="X294" s="205">
        <f t="shared" si="421"/>
        <v>350</v>
      </c>
      <c r="Y294" s="456">
        <f t="shared" si="407"/>
        <v>278.69440794914448</v>
      </c>
      <c r="AA294" s="225">
        <f t="shared" si="422"/>
        <v>0.66606005459508633</v>
      </c>
      <c r="AB294" s="181">
        <f t="shared" si="423"/>
        <v>1.7470427661510461</v>
      </c>
      <c r="AC294" s="181">
        <f t="shared" si="424"/>
        <v>0.20363619503544039</v>
      </c>
      <c r="AD294" s="181"/>
      <c r="AE294" s="181">
        <f t="shared" si="425"/>
        <v>0.76065573770491812</v>
      </c>
      <c r="AF294" s="565">
        <f t="shared" si="426"/>
        <v>2121.5814506539832</v>
      </c>
      <c r="AG294" s="548">
        <f t="shared" si="427"/>
        <v>3.8603278688524589E-2</v>
      </c>
      <c r="AI294" s="181">
        <f t="shared" si="428"/>
        <v>0.71399279708251562</v>
      </c>
      <c r="AJ294" s="181">
        <f t="shared" si="429"/>
        <v>0.8364754098360655</v>
      </c>
      <c r="AK294" s="181">
        <f t="shared" si="430"/>
        <v>1.6047965998785672</v>
      </c>
      <c r="AM294" s="565">
        <f t="shared" si="431"/>
        <v>234</v>
      </c>
      <c r="AN294" s="474">
        <f t="shared" si="432"/>
        <v>278.69440794914448</v>
      </c>
      <c r="AP294">
        <f t="shared" si="433"/>
        <v>234</v>
      </c>
      <c r="AQ294">
        <f t="shared" si="434"/>
        <v>278.69440794914448</v>
      </c>
      <c r="AS294" s="6">
        <f t="shared" si="406"/>
        <v>3.5881595449251988</v>
      </c>
      <c r="AT294" s="6">
        <f t="shared" si="435"/>
        <v>1.394125683060109</v>
      </c>
      <c r="AU294" s="6">
        <f t="shared" si="372"/>
        <v>2.1940338618650896</v>
      </c>
      <c r="AV294" s="6"/>
      <c r="AW294" s="181">
        <f t="shared" si="373"/>
        <v>0.38853503184713373</v>
      </c>
      <c r="AX294" s="181"/>
      <c r="CB294" s="583">
        <f t="shared" si="436"/>
        <v>-50</v>
      </c>
      <c r="CC294">
        <f t="shared" si="437"/>
        <v>-50</v>
      </c>
    </row>
    <row r="295" spans="5:81" x14ac:dyDescent="0.2">
      <c r="E295" s="178">
        <v>79</v>
      </c>
      <c r="F295" s="225">
        <f t="shared" si="438"/>
        <v>0.23699999999999999</v>
      </c>
      <c r="G295" s="225"/>
      <c r="H295" s="225">
        <f t="shared" si="408"/>
        <v>3.5549999999999997</v>
      </c>
      <c r="I295" s="561">
        <f t="shared" si="409"/>
        <v>24</v>
      </c>
      <c r="J295" s="456">
        <f t="shared" si="410"/>
        <v>15.25</v>
      </c>
      <c r="K295" s="456">
        <f t="shared" si="411"/>
        <v>39.25</v>
      </c>
      <c r="L295" s="456"/>
      <c r="M295" s="225">
        <f t="shared" si="412"/>
        <v>0.38853503184713378</v>
      </c>
      <c r="N295" s="180">
        <f t="shared" si="413"/>
        <v>6.0844585987261137</v>
      </c>
      <c r="O295" s="180">
        <f t="shared" si="405"/>
        <v>3.5549999999999997</v>
      </c>
      <c r="P295" s="225">
        <f t="shared" si="414"/>
        <v>0.40563057324840757</v>
      </c>
      <c r="Q295" s="225">
        <f t="shared" si="415"/>
        <v>15</v>
      </c>
      <c r="R295" s="225"/>
      <c r="S295" s="180">
        <f t="shared" si="416"/>
        <v>42.217234761198661</v>
      </c>
      <c r="T295" s="180">
        <f t="shared" si="417"/>
        <v>15</v>
      </c>
      <c r="U295" s="225">
        <f t="shared" si="418"/>
        <v>0.8471994535519124</v>
      </c>
      <c r="V295" s="225">
        <f t="shared" si="419"/>
        <v>1.4119990892531875</v>
      </c>
      <c r="W295" s="225">
        <f t="shared" si="420"/>
        <v>2.2221625011197705</v>
      </c>
      <c r="X295" s="205">
        <f t="shared" si="421"/>
        <v>350</v>
      </c>
      <c r="Y295" s="456">
        <f t="shared" si="407"/>
        <v>275.16663063333255</v>
      </c>
      <c r="AA295" s="225">
        <f t="shared" si="422"/>
        <v>0.66606005459508633</v>
      </c>
      <c r="AB295" s="181">
        <f t="shared" si="423"/>
        <v>1.7470427661510461</v>
      </c>
      <c r="AC295" s="181">
        <f t="shared" si="424"/>
        <v>0.20363619503544039</v>
      </c>
      <c r="AD295" s="181"/>
      <c r="AE295" s="181">
        <f t="shared" si="425"/>
        <v>0.76065573770491812</v>
      </c>
      <c r="AF295" s="565">
        <f t="shared" si="426"/>
        <v>2148.781212841855</v>
      </c>
      <c r="AG295" s="548">
        <f t="shared" si="427"/>
        <v>3.8603278688524589E-2</v>
      </c>
      <c r="AI295" s="181">
        <f t="shared" si="428"/>
        <v>0.7185550977979549</v>
      </c>
      <c r="AJ295" s="181">
        <f t="shared" si="429"/>
        <v>0.8471994535519124</v>
      </c>
      <c r="AK295" s="181">
        <f t="shared" si="430"/>
        <v>1.6127403359643795</v>
      </c>
      <c r="AM295" s="565">
        <f t="shared" si="431"/>
        <v>237</v>
      </c>
      <c r="AN295" s="474">
        <f t="shared" si="432"/>
        <v>275.16663063333255</v>
      </c>
      <c r="AP295">
        <f t="shared" si="433"/>
        <v>237</v>
      </c>
      <c r="AQ295">
        <f t="shared" si="434"/>
        <v>275.16663063333255</v>
      </c>
      <c r="AS295" s="6">
        <f t="shared" si="406"/>
        <v>3.6341615903729574</v>
      </c>
      <c r="AT295" s="6">
        <f t="shared" si="435"/>
        <v>1.4119990892531875</v>
      </c>
      <c r="AU295" s="6">
        <f t="shared" si="372"/>
        <v>2.2221625011197697</v>
      </c>
      <c r="AV295" s="6"/>
      <c r="AW295" s="181">
        <f t="shared" si="373"/>
        <v>0.38853503184713384</v>
      </c>
      <c r="AX295" s="181"/>
      <c r="CB295" s="583">
        <f t="shared" si="436"/>
        <v>-50</v>
      </c>
      <c r="CC295">
        <f t="shared" si="437"/>
        <v>-50</v>
      </c>
    </row>
    <row r="296" spans="5:81" x14ac:dyDescent="0.2">
      <c r="E296" s="178">
        <v>80</v>
      </c>
      <c r="F296" s="225">
        <f t="shared" si="438"/>
        <v>0.24</v>
      </c>
      <c r="G296" s="225"/>
      <c r="H296" s="225">
        <f t="shared" si="408"/>
        <v>3.5999999999999996</v>
      </c>
      <c r="I296" s="561">
        <f t="shared" si="409"/>
        <v>24</v>
      </c>
      <c r="J296" s="456">
        <f t="shared" si="410"/>
        <v>15.25</v>
      </c>
      <c r="K296" s="456">
        <f t="shared" si="411"/>
        <v>39.25</v>
      </c>
      <c r="L296" s="456"/>
      <c r="M296" s="225">
        <f t="shared" si="412"/>
        <v>0.38853503184713378</v>
      </c>
      <c r="N296" s="180">
        <f t="shared" si="413"/>
        <v>6.0844585987261137</v>
      </c>
      <c r="O296" s="180">
        <f t="shared" si="405"/>
        <v>3.5999999999999996</v>
      </c>
      <c r="P296" s="225">
        <f t="shared" si="414"/>
        <v>0.40563057324840757</v>
      </c>
      <c r="Q296" s="225">
        <f t="shared" si="415"/>
        <v>15</v>
      </c>
      <c r="R296" s="225"/>
      <c r="S296" s="180">
        <f t="shared" si="416"/>
        <v>41.394078108401914</v>
      </c>
      <c r="T296" s="180">
        <f t="shared" si="417"/>
        <v>15</v>
      </c>
      <c r="U296" s="225">
        <f t="shared" si="418"/>
        <v>0.85792349726775941</v>
      </c>
      <c r="V296" s="225">
        <f t="shared" si="419"/>
        <v>1.4298724954462658</v>
      </c>
      <c r="W296" s="225">
        <f t="shared" si="420"/>
        <v>2.250291140374451</v>
      </c>
      <c r="X296" s="205">
        <f t="shared" si="421"/>
        <v>350</v>
      </c>
      <c r="Y296" s="456">
        <f t="shared" si="407"/>
        <v>271.72704775041592</v>
      </c>
      <c r="AA296" s="225">
        <f t="shared" si="422"/>
        <v>0.66606005459508633</v>
      </c>
      <c r="AB296" s="181">
        <f t="shared" si="423"/>
        <v>1.7470427661510461</v>
      </c>
      <c r="AC296" s="181">
        <f t="shared" si="424"/>
        <v>0.20363619503544039</v>
      </c>
      <c r="AD296" s="181"/>
      <c r="AE296" s="181">
        <f t="shared" si="425"/>
        <v>0.76065573770491812</v>
      </c>
      <c r="AF296" s="565">
        <f t="shared" si="426"/>
        <v>2175.9809750297263</v>
      </c>
      <c r="AG296" s="548">
        <f t="shared" si="427"/>
        <v>3.8603278688524589E-2</v>
      </c>
      <c r="AI296" s="181">
        <f t="shared" si="428"/>
        <v>0.72308861341964359</v>
      </c>
      <c r="AJ296" s="181">
        <f t="shared" si="429"/>
        <v>0.85792349726775941</v>
      </c>
      <c r="AK296" s="181">
        <f t="shared" si="430"/>
        <v>1.620684072050192</v>
      </c>
      <c r="AM296" s="565">
        <f t="shared" si="431"/>
        <v>240</v>
      </c>
      <c r="AN296" s="474">
        <f t="shared" si="432"/>
        <v>271.72704775041592</v>
      </c>
      <c r="AP296">
        <f t="shared" si="433"/>
        <v>240</v>
      </c>
      <c r="AQ296">
        <f t="shared" si="434"/>
        <v>271.72704775041592</v>
      </c>
      <c r="AS296" s="6">
        <f t="shared" si="406"/>
        <v>3.6801636358207159</v>
      </c>
      <c r="AT296" s="6">
        <f t="shared" si="435"/>
        <v>1.4298724954462658</v>
      </c>
      <c r="AU296" s="6">
        <f t="shared" si="372"/>
        <v>2.2502911403744501</v>
      </c>
      <c r="AV296" s="6"/>
      <c r="AW296" s="181">
        <f t="shared" si="373"/>
        <v>0.38853503184713389</v>
      </c>
      <c r="AX296" s="181"/>
      <c r="CB296" s="583">
        <f t="shared" si="436"/>
        <v>-50</v>
      </c>
      <c r="CC296">
        <f t="shared" si="437"/>
        <v>-50</v>
      </c>
    </row>
    <row r="297" spans="5:81" x14ac:dyDescent="0.2">
      <c r="E297" s="178">
        <v>81</v>
      </c>
      <c r="F297" s="225">
        <f t="shared" si="438"/>
        <v>0.24299999999999999</v>
      </c>
      <c r="G297" s="225"/>
      <c r="H297" s="225">
        <f t="shared" si="408"/>
        <v>3.645</v>
      </c>
      <c r="I297" s="561">
        <f t="shared" si="409"/>
        <v>24</v>
      </c>
      <c r="J297" s="456">
        <f t="shared" si="410"/>
        <v>15.25</v>
      </c>
      <c r="K297" s="456">
        <f t="shared" si="411"/>
        <v>39.25</v>
      </c>
      <c r="L297" s="456"/>
      <c r="M297" s="225">
        <f t="shared" si="412"/>
        <v>0.38853503184713378</v>
      </c>
      <c r="N297" s="180">
        <f t="shared" si="413"/>
        <v>6.0844585987261137</v>
      </c>
      <c r="O297" s="180">
        <f t="shared" si="405"/>
        <v>3.645</v>
      </c>
      <c r="P297" s="225">
        <f t="shared" si="414"/>
        <v>0.40563057324840757</v>
      </c>
      <c r="Q297" s="225">
        <f t="shared" si="415"/>
        <v>15</v>
      </c>
      <c r="R297" s="225"/>
      <c r="S297" s="180">
        <f t="shared" si="416"/>
        <v>40.591354361946856</v>
      </c>
      <c r="T297" s="180">
        <f t="shared" si="417"/>
        <v>15</v>
      </c>
      <c r="U297" s="225">
        <f t="shared" si="418"/>
        <v>0.86864754098360653</v>
      </c>
      <c r="V297" s="225">
        <f t="shared" si="419"/>
        <v>1.4477459016393441</v>
      </c>
      <c r="W297" s="225">
        <f t="shared" si="420"/>
        <v>2.2784197796291319</v>
      </c>
      <c r="X297" s="205">
        <f t="shared" si="421"/>
        <v>350</v>
      </c>
      <c r="Y297" s="456">
        <f t="shared" si="407"/>
        <v>268.37239283991687</v>
      </c>
      <c r="AA297" s="225">
        <f t="shared" si="422"/>
        <v>0.66606005459508633</v>
      </c>
      <c r="AB297" s="181">
        <f t="shared" si="423"/>
        <v>1.7470427661510461</v>
      </c>
      <c r="AC297" s="181">
        <f t="shared" si="424"/>
        <v>0.20363619503544039</v>
      </c>
      <c r="AD297" s="181"/>
      <c r="AE297" s="181">
        <f t="shared" si="425"/>
        <v>0.76065573770491812</v>
      </c>
      <c r="AF297" s="565">
        <f t="shared" si="426"/>
        <v>2203.1807372175981</v>
      </c>
      <c r="AG297" s="548">
        <f t="shared" si="427"/>
        <v>3.8603278688524589E-2</v>
      </c>
      <c r="AI297" s="181">
        <f t="shared" si="428"/>
        <v>0.7275938820130754</v>
      </c>
      <c r="AJ297" s="181">
        <f t="shared" si="429"/>
        <v>0.86864754098360653</v>
      </c>
      <c r="AK297" s="181">
        <f t="shared" si="430"/>
        <v>1.6286278081360048</v>
      </c>
      <c r="AM297" s="565">
        <f t="shared" si="431"/>
        <v>243</v>
      </c>
      <c r="AN297" s="474">
        <f t="shared" si="432"/>
        <v>268.37239283991687</v>
      </c>
      <c r="AP297">
        <f t="shared" si="433"/>
        <v>243</v>
      </c>
      <c r="AQ297">
        <f t="shared" si="434"/>
        <v>268.37239283991687</v>
      </c>
      <c r="AS297" s="6">
        <f t="shared" si="406"/>
        <v>3.7261656812684762</v>
      </c>
      <c r="AT297" s="6">
        <f t="shared" si="435"/>
        <v>1.4477459016393441</v>
      </c>
      <c r="AU297" s="6">
        <f t="shared" si="372"/>
        <v>2.2784197796291323</v>
      </c>
      <c r="AV297" s="6"/>
      <c r="AW297" s="181">
        <f t="shared" si="373"/>
        <v>0.38853503184713373</v>
      </c>
      <c r="AX297" s="181"/>
      <c r="CB297" s="583">
        <f t="shared" si="436"/>
        <v>-50</v>
      </c>
      <c r="CC297">
        <f t="shared" si="437"/>
        <v>-50</v>
      </c>
    </row>
    <row r="298" spans="5:81" x14ac:dyDescent="0.2">
      <c r="E298" s="178">
        <v>82</v>
      </c>
      <c r="F298" s="225">
        <f t="shared" si="438"/>
        <v>0.24599999999999997</v>
      </c>
      <c r="G298" s="225"/>
      <c r="H298" s="225">
        <f t="shared" si="408"/>
        <v>3.6899999999999995</v>
      </c>
      <c r="I298" s="561">
        <f t="shared" si="409"/>
        <v>24</v>
      </c>
      <c r="J298" s="456">
        <f t="shared" si="410"/>
        <v>15.25</v>
      </c>
      <c r="K298" s="456">
        <f t="shared" si="411"/>
        <v>39.25</v>
      </c>
      <c r="L298" s="456"/>
      <c r="M298" s="225">
        <f t="shared" si="412"/>
        <v>0.38853503184713378</v>
      </c>
      <c r="N298" s="180">
        <f t="shared" si="413"/>
        <v>6.0844585987261137</v>
      </c>
      <c r="O298" s="180">
        <f t="shared" si="405"/>
        <v>3.6899999999999995</v>
      </c>
      <c r="P298" s="225">
        <f t="shared" si="414"/>
        <v>0.40563057324840757</v>
      </c>
      <c r="Q298" s="225">
        <f t="shared" si="415"/>
        <v>15</v>
      </c>
      <c r="R298" s="225"/>
      <c r="S298" s="180">
        <f t="shared" si="416"/>
        <v>39.808318210457486</v>
      </c>
      <c r="T298" s="180">
        <f t="shared" si="417"/>
        <v>15</v>
      </c>
      <c r="U298" s="225">
        <f t="shared" si="418"/>
        <v>0.87937158469945331</v>
      </c>
      <c r="V298" s="225">
        <f t="shared" si="419"/>
        <v>1.4656193078324222</v>
      </c>
      <c r="W298" s="225">
        <f t="shared" si="420"/>
        <v>2.3065484188838123</v>
      </c>
      <c r="X298" s="205">
        <f t="shared" si="421"/>
        <v>350</v>
      </c>
      <c r="Y298" s="456">
        <f t="shared" si="407"/>
        <v>265.09955878089357</v>
      </c>
      <c r="AA298" s="225">
        <f t="shared" si="422"/>
        <v>0.66606005459508633</v>
      </c>
      <c r="AB298" s="181">
        <f t="shared" si="423"/>
        <v>1.7470427661510461</v>
      </c>
      <c r="AC298" s="181">
        <f t="shared" si="424"/>
        <v>0.20363619503544039</v>
      </c>
      <c r="AD298" s="181"/>
      <c r="AE298" s="181">
        <f t="shared" si="425"/>
        <v>0.76065573770491812</v>
      </c>
      <c r="AF298" s="565">
        <f t="shared" si="426"/>
        <v>2230.3804994054694</v>
      </c>
      <c r="AG298" s="548">
        <f t="shared" si="427"/>
        <v>3.8603278688524589E-2</v>
      </c>
      <c r="AI298" s="181">
        <f t="shared" si="428"/>
        <v>0.73207142508676792</v>
      </c>
      <c r="AJ298" s="181">
        <f t="shared" si="429"/>
        <v>0.87937158469945331</v>
      </c>
      <c r="AK298" s="181">
        <f t="shared" si="430"/>
        <v>1.6365715442218174</v>
      </c>
      <c r="AM298" s="565">
        <f t="shared" si="431"/>
        <v>245.99999999999997</v>
      </c>
      <c r="AN298" s="474">
        <f t="shared" si="432"/>
        <v>265.09955878089357</v>
      </c>
      <c r="AP298">
        <f t="shared" si="433"/>
        <v>245.99999999999997</v>
      </c>
      <c r="AQ298">
        <f t="shared" si="434"/>
        <v>265.09955878089357</v>
      </c>
      <c r="AS298" s="6">
        <f t="shared" si="406"/>
        <v>3.7721677267162339</v>
      </c>
      <c r="AT298" s="6">
        <f t="shared" si="435"/>
        <v>1.4656193078324222</v>
      </c>
      <c r="AU298" s="6">
        <f t="shared" ref="AU298:AU316" si="439">AS298-AT298</f>
        <v>2.3065484188838115</v>
      </c>
      <c r="AV298" s="6"/>
      <c r="AW298" s="181">
        <f t="shared" ref="AW298:AW316" si="440">AT298/AS298</f>
        <v>0.38853503184713378</v>
      </c>
      <c r="AX298" s="181"/>
      <c r="CB298" s="583">
        <f t="shared" si="436"/>
        <v>-50</v>
      </c>
      <c r="CC298">
        <f t="shared" si="437"/>
        <v>-50</v>
      </c>
    </row>
    <row r="299" spans="5:81" x14ac:dyDescent="0.2">
      <c r="E299" s="178">
        <v>83</v>
      </c>
      <c r="F299" s="225">
        <f t="shared" si="438"/>
        <v>0.24899999999999997</v>
      </c>
      <c r="G299" s="225"/>
      <c r="H299" s="225">
        <f t="shared" si="408"/>
        <v>3.7349999999999994</v>
      </c>
      <c r="I299" s="561">
        <f t="shared" si="409"/>
        <v>24</v>
      </c>
      <c r="J299" s="456">
        <f t="shared" si="410"/>
        <v>15.25</v>
      </c>
      <c r="K299" s="456">
        <f t="shared" si="411"/>
        <v>39.25</v>
      </c>
      <c r="L299" s="456"/>
      <c r="M299" s="225">
        <f t="shared" si="412"/>
        <v>0.38853503184713378</v>
      </c>
      <c r="N299" s="180">
        <f t="shared" si="413"/>
        <v>6.0844585987261137</v>
      </c>
      <c r="O299" s="180">
        <f t="shared" si="405"/>
        <v>3.7349999999999994</v>
      </c>
      <c r="P299" s="225">
        <f t="shared" si="414"/>
        <v>0.40563057324840757</v>
      </c>
      <c r="Q299" s="225">
        <f t="shared" si="415"/>
        <v>15</v>
      </c>
      <c r="R299" s="225"/>
      <c r="S299" s="180">
        <f t="shared" si="416"/>
        <v>39.044260321416608</v>
      </c>
      <c r="T299" s="180">
        <f t="shared" si="417"/>
        <v>15</v>
      </c>
      <c r="U299" s="225">
        <f t="shared" si="418"/>
        <v>0.89009562841530032</v>
      </c>
      <c r="V299" s="225">
        <f t="shared" si="419"/>
        <v>1.4834927140255008</v>
      </c>
      <c r="W299" s="225">
        <f t="shared" si="420"/>
        <v>2.3346770581384928</v>
      </c>
      <c r="X299" s="205">
        <f t="shared" si="421"/>
        <v>350</v>
      </c>
      <c r="Y299" s="456">
        <f t="shared" si="407"/>
        <v>261.90558819317192</v>
      </c>
      <c r="AA299" s="225">
        <f t="shared" si="422"/>
        <v>0.66606005459508633</v>
      </c>
      <c r="AB299" s="181">
        <f t="shared" si="423"/>
        <v>1.7470427661510461</v>
      </c>
      <c r="AC299" s="181">
        <f t="shared" si="424"/>
        <v>0.20363619503544039</v>
      </c>
      <c r="AD299" s="181"/>
      <c r="AE299" s="181">
        <f t="shared" si="425"/>
        <v>0.76065573770491812</v>
      </c>
      <c r="AF299" s="565">
        <f t="shared" si="426"/>
        <v>2257.5802615933408</v>
      </c>
      <c r="AG299" s="548">
        <f t="shared" si="427"/>
        <v>3.8603278688524589E-2</v>
      </c>
      <c r="AI299" s="181">
        <f t="shared" si="428"/>
        <v>0.73652174829687522</v>
      </c>
      <c r="AJ299" s="181">
        <f t="shared" si="429"/>
        <v>0.89009562841530032</v>
      </c>
      <c r="AK299" s="181">
        <f t="shared" si="430"/>
        <v>1.6445152803076297</v>
      </c>
      <c r="AM299" s="565">
        <f t="shared" si="431"/>
        <v>248.99999999999997</v>
      </c>
      <c r="AN299" s="474">
        <f t="shared" si="432"/>
        <v>261.90558819317192</v>
      </c>
      <c r="AP299">
        <f t="shared" si="433"/>
        <v>248.99999999999997</v>
      </c>
      <c r="AQ299">
        <f t="shared" si="434"/>
        <v>261.90558819317192</v>
      </c>
      <c r="AS299" s="6">
        <f t="shared" si="406"/>
        <v>3.8181697721639933</v>
      </c>
      <c r="AT299" s="6">
        <f t="shared" si="435"/>
        <v>1.4834927140255008</v>
      </c>
      <c r="AU299" s="6">
        <f t="shared" si="439"/>
        <v>2.3346770581384924</v>
      </c>
      <c r="AV299" s="6"/>
      <c r="AW299" s="181">
        <f t="shared" si="440"/>
        <v>0.38853503184713378</v>
      </c>
      <c r="AX299" s="181"/>
      <c r="CB299" s="583">
        <f t="shared" si="436"/>
        <v>-50</v>
      </c>
      <c r="CC299">
        <f t="shared" si="437"/>
        <v>-50</v>
      </c>
    </row>
    <row r="300" spans="5:81" x14ac:dyDescent="0.2">
      <c r="E300" s="178">
        <v>84</v>
      </c>
      <c r="F300" s="225">
        <f t="shared" si="438"/>
        <v>0.252</v>
      </c>
      <c r="G300" s="225"/>
      <c r="H300" s="225">
        <f t="shared" si="408"/>
        <v>3.7800000000000002</v>
      </c>
      <c r="I300" s="561">
        <f t="shared" si="409"/>
        <v>24</v>
      </c>
      <c r="J300" s="456">
        <f t="shared" si="410"/>
        <v>15.25</v>
      </c>
      <c r="K300" s="456">
        <f t="shared" si="411"/>
        <v>39.25</v>
      </c>
      <c r="L300" s="456"/>
      <c r="M300" s="225">
        <f t="shared" si="412"/>
        <v>0.38853503184713378</v>
      </c>
      <c r="N300" s="180">
        <f t="shared" si="413"/>
        <v>6.0844585987261137</v>
      </c>
      <c r="O300" s="180">
        <f t="shared" si="405"/>
        <v>3.7800000000000002</v>
      </c>
      <c r="P300" s="225">
        <f t="shared" si="414"/>
        <v>0.40563057324840757</v>
      </c>
      <c r="Q300" s="225">
        <f t="shared" si="415"/>
        <v>15</v>
      </c>
      <c r="R300" s="225"/>
      <c r="S300" s="180">
        <f t="shared" si="416"/>
        <v>38.298505201546568</v>
      </c>
      <c r="T300" s="180">
        <f t="shared" si="417"/>
        <v>15</v>
      </c>
      <c r="U300" s="225">
        <f t="shared" si="418"/>
        <v>0.90081967213114755</v>
      </c>
      <c r="V300" s="225">
        <f t="shared" si="419"/>
        <v>1.5013661202185793</v>
      </c>
      <c r="W300" s="225">
        <f t="shared" si="420"/>
        <v>2.3628056973931741</v>
      </c>
      <c r="X300" s="205">
        <f t="shared" si="421"/>
        <v>350</v>
      </c>
      <c r="Y300" s="456">
        <f t="shared" si="407"/>
        <v>258.78766452420552</v>
      </c>
      <c r="AA300" s="225">
        <f t="shared" si="422"/>
        <v>0.66606005459508633</v>
      </c>
      <c r="AB300" s="181">
        <f t="shared" si="423"/>
        <v>1.7470427661510461</v>
      </c>
      <c r="AC300" s="181">
        <f t="shared" si="424"/>
        <v>0.20363619503544039</v>
      </c>
      <c r="AD300" s="181"/>
      <c r="AE300" s="181">
        <f t="shared" si="425"/>
        <v>0.76065573770491812</v>
      </c>
      <c r="AF300" s="565">
        <f t="shared" si="426"/>
        <v>2284.780023781213</v>
      </c>
      <c r="AG300" s="548">
        <f t="shared" si="427"/>
        <v>3.8603278688524589E-2</v>
      </c>
      <c r="AI300" s="181">
        <f t="shared" si="428"/>
        <v>0.74094534211370822</v>
      </c>
      <c r="AJ300" s="181">
        <f t="shared" si="429"/>
        <v>0.90081967213114755</v>
      </c>
      <c r="AK300" s="181">
        <f t="shared" si="430"/>
        <v>1.6524590163934427</v>
      </c>
      <c r="AM300" s="565">
        <f t="shared" si="431"/>
        <v>252</v>
      </c>
      <c r="AN300" s="474">
        <f t="shared" si="432"/>
        <v>258.78766452420552</v>
      </c>
      <c r="AP300">
        <f t="shared" si="433"/>
        <v>252</v>
      </c>
      <c r="AQ300">
        <f t="shared" si="434"/>
        <v>258.78766452420552</v>
      </c>
      <c r="AS300" s="6">
        <f t="shared" si="406"/>
        <v>3.8641718176117537</v>
      </c>
      <c r="AT300" s="6">
        <f t="shared" si="435"/>
        <v>1.5013661202185793</v>
      </c>
      <c r="AU300" s="6">
        <f t="shared" si="439"/>
        <v>2.3628056973931741</v>
      </c>
      <c r="AV300" s="6"/>
      <c r="AW300" s="181">
        <f t="shared" si="440"/>
        <v>0.38853503184713373</v>
      </c>
      <c r="AX300" s="181"/>
      <c r="CB300" s="583">
        <f t="shared" si="436"/>
        <v>-50</v>
      </c>
      <c r="CC300">
        <f t="shared" si="437"/>
        <v>-50</v>
      </c>
    </row>
    <row r="301" spans="5:81" x14ac:dyDescent="0.2">
      <c r="E301" s="178">
        <v>85</v>
      </c>
      <c r="F301" s="225">
        <f t="shared" si="438"/>
        <v>0.255</v>
      </c>
      <c r="G301" s="225"/>
      <c r="H301" s="225">
        <f t="shared" si="408"/>
        <v>3.8250000000000002</v>
      </c>
      <c r="I301" s="561">
        <f t="shared" si="409"/>
        <v>24</v>
      </c>
      <c r="J301" s="456">
        <f t="shared" si="410"/>
        <v>15.25</v>
      </c>
      <c r="K301" s="456">
        <f t="shared" si="411"/>
        <v>39.25</v>
      </c>
      <c r="L301" s="456"/>
      <c r="M301" s="225">
        <f t="shared" si="412"/>
        <v>0.38853503184713378</v>
      </c>
      <c r="N301" s="180">
        <f t="shared" si="413"/>
        <v>6.0844585987261137</v>
      </c>
      <c r="O301" s="180">
        <f t="shared" si="405"/>
        <v>3.8250000000000002</v>
      </c>
      <c r="P301" s="225">
        <f t="shared" si="414"/>
        <v>0.40563057324840757</v>
      </c>
      <c r="Q301" s="225">
        <f t="shared" si="415"/>
        <v>15</v>
      </c>
      <c r="R301" s="225"/>
      <c r="S301" s="180">
        <f t="shared" si="416"/>
        <v>37.570409208297825</v>
      </c>
      <c r="T301" s="180">
        <f t="shared" si="417"/>
        <v>15</v>
      </c>
      <c r="U301" s="225">
        <f t="shared" si="418"/>
        <v>0.91154371584699445</v>
      </c>
      <c r="V301" s="225">
        <f t="shared" si="419"/>
        <v>1.5192395264116576</v>
      </c>
      <c r="W301" s="225">
        <f t="shared" si="420"/>
        <v>2.3909343366478546</v>
      </c>
      <c r="X301" s="205">
        <f t="shared" si="421"/>
        <v>350</v>
      </c>
      <c r="Y301" s="456">
        <f t="shared" si="407"/>
        <v>255.74310376509723</v>
      </c>
      <c r="AA301" s="225">
        <f t="shared" si="422"/>
        <v>0.66606005459508633</v>
      </c>
      <c r="AB301" s="181">
        <f t="shared" si="423"/>
        <v>1.7470427661510461</v>
      </c>
      <c r="AC301" s="181">
        <f t="shared" si="424"/>
        <v>0.20363619503544039</v>
      </c>
      <c r="AD301" s="181"/>
      <c r="AE301" s="181">
        <f t="shared" si="425"/>
        <v>0.76065573770491812</v>
      </c>
      <c r="AF301" s="565">
        <f t="shared" si="426"/>
        <v>2311.9797859690848</v>
      </c>
      <c r="AG301" s="548">
        <f t="shared" si="427"/>
        <v>3.8603278688524589E-2</v>
      </c>
      <c r="AI301" s="181">
        <f t="shared" si="428"/>
        <v>0.74534268245265156</v>
      </c>
      <c r="AJ301" s="181">
        <f t="shared" si="429"/>
        <v>0.91154371584699445</v>
      </c>
      <c r="AK301" s="181">
        <f t="shared" si="430"/>
        <v>1.6604027524792553</v>
      </c>
      <c r="AM301" s="565">
        <f t="shared" si="431"/>
        <v>255</v>
      </c>
      <c r="AN301" s="474">
        <f t="shared" si="432"/>
        <v>255.74310376509723</v>
      </c>
      <c r="AP301">
        <f t="shared" si="433"/>
        <v>255</v>
      </c>
      <c r="AQ301">
        <f t="shared" si="434"/>
        <v>255.74310376509723</v>
      </c>
      <c r="AS301" s="6">
        <f t="shared" si="406"/>
        <v>3.9101738630595122</v>
      </c>
      <c r="AT301" s="6">
        <f t="shared" si="435"/>
        <v>1.5192395264116576</v>
      </c>
      <c r="AU301" s="6">
        <f t="shared" si="439"/>
        <v>2.3909343366478546</v>
      </c>
      <c r="AV301" s="6"/>
      <c r="AW301" s="181">
        <f t="shared" si="440"/>
        <v>0.38853503184713378</v>
      </c>
      <c r="AX301" s="181"/>
      <c r="CB301" s="583">
        <f t="shared" si="436"/>
        <v>-50</v>
      </c>
      <c r="CC301">
        <f t="shared" si="437"/>
        <v>-50</v>
      </c>
    </row>
    <row r="302" spans="5:81" x14ac:dyDescent="0.2">
      <c r="E302" s="178">
        <v>86</v>
      </c>
      <c r="F302" s="225">
        <f t="shared" si="438"/>
        <v>0.25800000000000001</v>
      </c>
      <c r="G302" s="225"/>
      <c r="H302" s="225">
        <f t="shared" si="408"/>
        <v>3.87</v>
      </c>
      <c r="I302" s="561">
        <f t="shared" si="409"/>
        <v>24</v>
      </c>
      <c r="J302" s="456">
        <f t="shared" si="410"/>
        <v>15.25</v>
      </c>
      <c r="K302" s="456">
        <f t="shared" si="411"/>
        <v>39.25</v>
      </c>
      <c r="L302" s="456"/>
      <c r="M302" s="225">
        <f t="shared" si="412"/>
        <v>0.38853503184713378</v>
      </c>
      <c r="N302" s="180">
        <f t="shared" si="413"/>
        <v>6.0844585987261137</v>
      </c>
      <c r="O302" s="180">
        <f t="shared" si="405"/>
        <v>3.87</v>
      </c>
      <c r="P302" s="225">
        <f t="shared" si="414"/>
        <v>0.40563057324840757</v>
      </c>
      <c r="Q302" s="225">
        <f t="shared" si="415"/>
        <v>15</v>
      </c>
      <c r="R302" s="225"/>
      <c r="S302" s="180">
        <f t="shared" si="416"/>
        <v>36.85935870014886</v>
      </c>
      <c r="T302" s="180">
        <f t="shared" si="417"/>
        <v>15</v>
      </c>
      <c r="U302" s="225">
        <f t="shared" si="418"/>
        <v>0.92226775956284146</v>
      </c>
      <c r="V302" s="225">
        <f t="shared" si="419"/>
        <v>1.5371129326047357</v>
      </c>
      <c r="W302" s="225">
        <f t="shared" si="420"/>
        <v>2.4190629759025351</v>
      </c>
      <c r="X302" s="205">
        <f t="shared" si="421"/>
        <v>350</v>
      </c>
      <c r="Y302" s="456">
        <f t="shared" si="407"/>
        <v>252.76934674457291</v>
      </c>
      <c r="AA302" s="225">
        <f t="shared" si="422"/>
        <v>0.66606005459508633</v>
      </c>
      <c r="AB302" s="181">
        <f t="shared" si="423"/>
        <v>1.7470427661510461</v>
      </c>
      <c r="AC302" s="181">
        <f t="shared" si="424"/>
        <v>0.20363619503544039</v>
      </c>
      <c r="AD302" s="181"/>
      <c r="AE302" s="181">
        <f t="shared" si="425"/>
        <v>0.76065573770491812</v>
      </c>
      <c r="AF302" s="565">
        <f t="shared" si="426"/>
        <v>2339.1795481569561</v>
      </c>
      <c r="AG302" s="548">
        <f t="shared" si="427"/>
        <v>3.8603278688524589E-2</v>
      </c>
      <c r="AI302" s="181">
        <f t="shared" si="428"/>
        <v>0.74971423127177506</v>
      </c>
      <c r="AJ302" s="181">
        <f t="shared" si="429"/>
        <v>0.92226775956284146</v>
      </c>
      <c r="AK302" s="181">
        <f t="shared" si="430"/>
        <v>1.6683464885650676</v>
      </c>
      <c r="AM302" s="565">
        <f t="shared" si="431"/>
        <v>258</v>
      </c>
      <c r="AN302" s="474">
        <f t="shared" si="432"/>
        <v>252.76934674457291</v>
      </c>
      <c r="AP302">
        <f t="shared" si="433"/>
        <v>258</v>
      </c>
      <c r="AQ302">
        <f t="shared" si="434"/>
        <v>252.76934674457291</v>
      </c>
      <c r="AS302" s="6">
        <f t="shared" si="406"/>
        <v>3.9561759085072703</v>
      </c>
      <c r="AT302" s="6">
        <f t="shared" si="435"/>
        <v>1.5371129326047357</v>
      </c>
      <c r="AU302" s="6">
        <f t="shared" si="439"/>
        <v>2.4190629759025346</v>
      </c>
      <c r="AV302" s="6"/>
      <c r="AW302" s="181">
        <f t="shared" si="440"/>
        <v>0.38853503184713378</v>
      </c>
      <c r="AX302" s="181"/>
      <c r="CB302" s="583">
        <f t="shared" si="436"/>
        <v>-50</v>
      </c>
      <c r="CC302">
        <f t="shared" si="437"/>
        <v>-50</v>
      </c>
    </row>
    <row r="303" spans="5:81" x14ac:dyDescent="0.2">
      <c r="E303" s="178">
        <v>87</v>
      </c>
      <c r="F303" s="225">
        <f t="shared" si="438"/>
        <v>0.26100000000000001</v>
      </c>
      <c r="G303" s="225"/>
      <c r="H303" s="225">
        <f t="shared" si="408"/>
        <v>3.915</v>
      </c>
      <c r="I303" s="561">
        <f t="shared" si="409"/>
        <v>24</v>
      </c>
      <c r="J303" s="456">
        <f t="shared" si="410"/>
        <v>15.25</v>
      </c>
      <c r="K303" s="456">
        <f t="shared" si="411"/>
        <v>39.25</v>
      </c>
      <c r="L303" s="456"/>
      <c r="M303" s="225">
        <f t="shared" si="412"/>
        <v>0.38853503184713378</v>
      </c>
      <c r="N303" s="180">
        <f t="shared" si="413"/>
        <v>6.0844585987261137</v>
      </c>
      <c r="O303" s="180">
        <f t="shared" si="405"/>
        <v>3.915</v>
      </c>
      <c r="P303" s="225">
        <f t="shared" si="414"/>
        <v>0.40563057324840757</v>
      </c>
      <c r="Q303" s="225">
        <f t="shared" si="415"/>
        <v>15</v>
      </c>
      <c r="R303" s="225"/>
      <c r="S303" s="180">
        <f t="shared" si="416"/>
        <v>36.164768314552269</v>
      </c>
      <c r="T303" s="180">
        <f t="shared" si="417"/>
        <v>15</v>
      </c>
      <c r="U303" s="225">
        <f t="shared" si="418"/>
        <v>0.93299180327868847</v>
      </c>
      <c r="V303" s="225">
        <f t="shared" si="419"/>
        <v>1.5549863387978142</v>
      </c>
      <c r="W303" s="225">
        <f t="shared" si="420"/>
        <v>2.4471916151572155</v>
      </c>
      <c r="X303" s="205">
        <f t="shared" si="421"/>
        <v>350</v>
      </c>
      <c r="Y303" s="456">
        <f t="shared" si="407"/>
        <v>249.86395195440537</v>
      </c>
      <c r="AA303" s="225">
        <f t="shared" si="422"/>
        <v>0.66606005459508633</v>
      </c>
      <c r="AB303" s="181">
        <f t="shared" si="423"/>
        <v>1.7470427661510461</v>
      </c>
      <c r="AC303" s="181">
        <f t="shared" si="424"/>
        <v>0.20363619503544039</v>
      </c>
      <c r="AD303" s="181"/>
      <c r="AE303" s="181">
        <f t="shared" si="425"/>
        <v>0.76065573770491812</v>
      </c>
      <c r="AF303" s="565">
        <f t="shared" si="426"/>
        <v>2366.3793103448279</v>
      </c>
      <c r="AG303" s="548">
        <f t="shared" si="427"/>
        <v>3.8603278688524589E-2</v>
      </c>
      <c r="AI303" s="181">
        <f t="shared" si="428"/>
        <v>0.75406043713825943</v>
      </c>
      <c r="AJ303" s="181">
        <f t="shared" si="429"/>
        <v>0.93299180327868847</v>
      </c>
      <c r="AK303" s="181">
        <f t="shared" si="430"/>
        <v>1.6762902246508804</v>
      </c>
      <c r="AM303" s="565">
        <f t="shared" si="431"/>
        <v>261</v>
      </c>
      <c r="AN303" s="474">
        <f t="shared" si="432"/>
        <v>249.86395195440537</v>
      </c>
      <c r="AP303">
        <f t="shared" si="433"/>
        <v>261</v>
      </c>
      <c r="AQ303">
        <f t="shared" si="434"/>
        <v>249.86395195440537</v>
      </c>
      <c r="AS303" s="6">
        <f t="shared" si="406"/>
        <v>4.0021779539550302</v>
      </c>
      <c r="AT303" s="6">
        <f t="shared" si="435"/>
        <v>1.5549863387978142</v>
      </c>
      <c r="AU303" s="6">
        <f t="shared" si="439"/>
        <v>2.4471916151572159</v>
      </c>
      <c r="AV303" s="6"/>
      <c r="AW303" s="181">
        <f t="shared" si="440"/>
        <v>0.38853503184713373</v>
      </c>
      <c r="AX303" s="181"/>
      <c r="CB303" s="583">
        <f t="shared" si="436"/>
        <v>-50</v>
      </c>
      <c r="CC303">
        <f t="shared" si="437"/>
        <v>-50</v>
      </c>
    </row>
    <row r="304" spans="5:81" x14ac:dyDescent="0.2">
      <c r="E304" s="178">
        <v>88</v>
      </c>
      <c r="F304" s="225">
        <f t="shared" si="438"/>
        <v>0.26400000000000001</v>
      </c>
      <c r="G304" s="225"/>
      <c r="H304" s="225">
        <f t="shared" si="408"/>
        <v>3.96</v>
      </c>
      <c r="I304" s="561">
        <f t="shared" si="409"/>
        <v>24</v>
      </c>
      <c r="J304" s="456">
        <f t="shared" si="410"/>
        <v>15.25</v>
      </c>
      <c r="K304" s="456">
        <f t="shared" si="411"/>
        <v>39.25</v>
      </c>
      <c r="L304" s="456"/>
      <c r="M304" s="225">
        <f t="shared" si="412"/>
        <v>0.38853503184713378</v>
      </c>
      <c r="N304" s="180">
        <f t="shared" si="413"/>
        <v>6.0844585987261137</v>
      </c>
      <c r="O304" s="180">
        <f t="shared" si="405"/>
        <v>3.96</v>
      </c>
      <c r="P304" s="225">
        <f t="shared" si="414"/>
        <v>0.40563057324840757</v>
      </c>
      <c r="Q304" s="225">
        <f t="shared" si="415"/>
        <v>15</v>
      </c>
      <c r="R304" s="225"/>
      <c r="S304" s="180">
        <f t="shared" si="416"/>
        <v>35.486079363376689</v>
      </c>
      <c r="T304" s="180">
        <f t="shared" si="417"/>
        <v>15</v>
      </c>
      <c r="U304" s="225">
        <f t="shared" si="418"/>
        <v>0.94371584699453537</v>
      </c>
      <c r="V304" s="225">
        <f t="shared" si="419"/>
        <v>1.5728597449908925</v>
      </c>
      <c r="W304" s="225">
        <f t="shared" si="420"/>
        <v>2.4753202544118964</v>
      </c>
      <c r="X304" s="205">
        <f t="shared" si="421"/>
        <v>350</v>
      </c>
      <c r="Y304" s="456">
        <f t="shared" si="407"/>
        <v>247.02458886401439</v>
      </c>
      <c r="AA304" s="225">
        <f t="shared" si="422"/>
        <v>0.66606005459508633</v>
      </c>
      <c r="AB304" s="181">
        <f t="shared" si="423"/>
        <v>1.7470427661510461</v>
      </c>
      <c r="AC304" s="181">
        <f t="shared" si="424"/>
        <v>0.20363619503544039</v>
      </c>
      <c r="AD304" s="181"/>
      <c r="AE304" s="181">
        <f t="shared" si="425"/>
        <v>0.76065573770491812</v>
      </c>
      <c r="AF304" s="565">
        <f t="shared" si="426"/>
        <v>2393.5790725326992</v>
      </c>
      <c r="AG304" s="548">
        <f t="shared" si="427"/>
        <v>3.8603278688524589E-2</v>
      </c>
      <c r="AI304" s="181">
        <f t="shared" si="428"/>
        <v>0.75838173576560841</v>
      </c>
      <c r="AJ304" s="181">
        <f t="shared" si="429"/>
        <v>0.94371584699453537</v>
      </c>
      <c r="AK304" s="181">
        <f t="shared" si="430"/>
        <v>1.684233960736693</v>
      </c>
      <c r="AM304" s="565">
        <f t="shared" si="431"/>
        <v>264</v>
      </c>
      <c r="AN304" s="474">
        <f t="shared" si="432"/>
        <v>247.02458886401439</v>
      </c>
      <c r="AP304">
        <f t="shared" si="433"/>
        <v>264</v>
      </c>
      <c r="AQ304">
        <f t="shared" si="434"/>
        <v>247.02458886401439</v>
      </c>
      <c r="AS304" s="6">
        <f t="shared" si="406"/>
        <v>4.0481799994027892</v>
      </c>
      <c r="AT304" s="6">
        <f t="shared" si="435"/>
        <v>1.5728597449908925</v>
      </c>
      <c r="AU304" s="6">
        <f t="shared" si="439"/>
        <v>2.4753202544118968</v>
      </c>
      <c r="AV304" s="6"/>
      <c r="AW304" s="181">
        <f t="shared" si="440"/>
        <v>0.38853503184713373</v>
      </c>
      <c r="AX304" s="181"/>
      <c r="CB304" s="583">
        <f t="shared" si="436"/>
        <v>-50</v>
      </c>
      <c r="CC304">
        <f t="shared" si="437"/>
        <v>-50</v>
      </c>
    </row>
    <row r="305" spans="5:81" x14ac:dyDescent="0.2">
      <c r="E305" s="178">
        <v>89</v>
      </c>
      <c r="F305" s="225">
        <f t="shared" si="438"/>
        <v>0.26700000000000002</v>
      </c>
      <c r="G305" s="225"/>
      <c r="H305" s="225">
        <f t="shared" si="408"/>
        <v>4.0049999999999999</v>
      </c>
      <c r="I305" s="561">
        <f t="shared" si="409"/>
        <v>24</v>
      </c>
      <c r="J305" s="456">
        <f t="shared" si="410"/>
        <v>15.25</v>
      </c>
      <c r="K305" s="456">
        <f t="shared" si="411"/>
        <v>39.25</v>
      </c>
      <c r="L305" s="456"/>
      <c r="M305" s="225">
        <f t="shared" si="412"/>
        <v>0.38853503184713378</v>
      </c>
      <c r="N305" s="180">
        <f t="shared" si="413"/>
        <v>6.0844585987261137</v>
      </c>
      <c r="O305" s="180">
        <f t="shared" si="405"/>
        <v>4.0049999999999999</v>
      </c>
      <c r="P305" s="225">
        <f t="shared" si="414"/>
        <v>0.40563057324840757</v>
      </c>
      <c r="Q305" s="225">
        <f t="shared" si="415"/>
        <v>15</v>
      </c>
      <c r="R305" s="225"/>
      <c r="S305" s="180">
        <f t="shared" si="416"/>
        <v>34.822758336607087</v>
      </c>
      <c r="T305" s="180">
        <f t="shared" si="417"/>
        <v>15</v>
      </c>
      <c r="U305" s="225">
        <f t="shared" si="418"/>
        <v>0.95443989071038238</v>
      </c>
      <c r="V305" s="225">
        <f t="shared" si="419"/>
        <v>1.5907331511839709</v>
      </c>
      <c r="W305" s="225">
        <f t="shared" si="420"/>
        <v>2.5034488936665769</v>
      </c>
      <c r="X305" s="205">
        <f t="shared" si="421"/>
        <v>350</v>
      </c>
      <c r="Y305" s="456">
        <f t="shared" si="407"/>
        <v>244.24903168576702</v>
      </c>
      <c r="AA305" s="225">
        <f t="shared" si="422"/>
        <v>0.66606005459508633</v>
      </c>
      <c r="AB305" s="181">
        <f t="shared" si="423"/>
        <v>1.7470427661510461</v>
      </c>
      <c r="AC305" s="181">
        <f t="shared" si="424"/>
        <v>0.20363619503544039</v>
      </c>
      <c r="AD305" s="181"/>
      <c r="AE305" s="181">
        <f t="shared" si="425"/>
        <v>0.76065573770491812</v>
      </c>
      <c r="AF305" s="565">
        <f t="shared" si="426"/>
        <v>2420.778834720571</v>
      </c>
      <c r="AG305" s="548">
        <f t="shared" si="427"/>
        <v>3.8603278688524589E-2</v>
      </c>
      <c r="AI305" s="181">
        <f t="shared" si="428"/>
        <v>0.76267855052346367</v>
      </c>
      <c r="AJ305" s="181">
        <f t="shared" si="429"/>
        <v>0.95443989071038238</v>
      </c>
      <c r="AK305" s="181">
        <f t="shared" si="430"/>
        <v>1.6921776968225055</v>
      </c>
      <c r="AM305" s="565">
        <f t="shared" si="431"/>
        <v>267</v>
      </c>
      <c r="AN305" s="474">
        <f t="shared" si="432"/>
        <v>244.24903168576702</v>
      </c>
      <c r="AP305">
        <f t="shared" si="433"/>
        <v>267</v>
      </c>
      <c r="AQ305">
        <f t="shared" si="434"/>
        <v>244.24903168576702</v>
      </c>
      <c r="AS305" s="6">
        <f t="shared" si="406"/>
        <v>4.094182044850549</v>
      </c>
      <c r="AT305" s="6">
        <f t="shared" si="435"/>
        <v>1.5907331511839709</v>
      </c>
      <c r="AU305" s="6">
        <f t="shared" si="439"/>
        <v>2.5034488936665782</v>
      </c>
      <c r="AV305" s="6"/>
      <c r="AW305" s="181">
        <f t="shared" si="440"/>
        <v>0.38853503184713367</v>
      </c>
      <c r="AX305" s="181"/>
      <c r="CB305" s="583">
        <f t="shared" si="436"/>
        <v>-50</v>
      </c>
      <c r="CC305">
        <f t="shared" si="437"/>
        <v>-50</v>
      </c>
    </row>
    <row r="306" spans="5:81" x14ac:dyDescent="0.2">
      <c r="E306" s="178">
        <v>90</v>
      </c>
      <c r="F306" s="225">
        <f t="shared" si="438"/>
        <v>0.27</v>
      </c>
      <c r="G306" s="225"/>
      <c r="H306" s="225">
        <f t="shared" si="408"/>
        <v>4.0500000000000007</v>
      </c>
      <c r="I306" s="561">
        <f t="shared" si="409"/>
        <v>24</v>
      </c>
      <c r="J306" s="456">
        <f t="shared" si="410"/>
        <v>15.25</v>
      </c>
      <c r="K306" s="456">
        <f t="shared" si="411"/>
        <v>39.25</v>
      </c>
      <c r="L306" s="456"/>
      <c r="M306" s="225">
        <f t="shared" si="412"/>
        <v>0.38853503184713378</v>
      </c>
      <c r="N306" s="180">
        <f t="shared" si="413"/>
        <v>6.0844585987261137</v>
      </c>
      <c r="O306" s="180">
        <f t="shared" si="405"/>
        <v>4.0500000000000007</v>
      </c>
      <c r="P306" s="225">
        <f t="shared" si="414"/>
        <v>0.40563057324840757</v>
      </c>
      <c r="Q306" s="225">
        <f t="shared" si="415"/>
        <v>15</v>
      </c>
      <c r="R306" s="225"/>
      <c r="S306" s="180">
        <f t="shared" si="416"/>
        <v>34.174295505886938</v>
      </c>
      <c r="T306" s="180">
        <f t="shared" si="417"/>
        <v>15</v>
      </c>
      <c r="U306" s="225">
        <f t="shared" si="418"/>
        <v>0.96516393442622961</v>
      </c>
      <c r="V306" s="225">
        <f t="shared" si="419"/>
        <v>1.6086065573770494</v>
      </c>
      <c r="W306" s="225">
        <f t="shared" si="420"/>
        <v>2.5315775329212582</v>
      </c>
      <c r="X306" s="205">
        <f t="shared" si="421"/>
        <v>350</v>
      </c>
      <c r="Y306" s="456">
        <f t="shared" si="407"/>
        <v>241.53515355592518</v>
      </c>
      <c r="AA306" s="225">
        <f t="shared" si="422"/>
        <v>0.66606005459508633</v>
      </c>
      <c r="AB306" s="181">
        <f t="shared" si="423"/>
        <v>1.7470427661510461</v>
      </c>
      <c r="AC306" s="181">
        <f t="shared" si="424"/>
        <v>0.20363619503544039</v>
      </c>
      <c r="AD306" s="181"/>
      <c r="AE306" s="181">
        <f t="shared" si="425"/>
        <v>0.76065573770491812</v>
      </c>
      <c r="AF306" s="565">
        <f t="shared" si="426"/>
        <v>2447.9785969084423</v>
      </c>
      <c r="AG306" s="548">
        <f t="shared" si="427"/>
        <v>3.8603278688524589E-2</v>
      </c>
      <c r="AI306" s="181">
        <f t="shared" si="428"/>
        <v>0.76695129292171205</v>
      </c>
      <c r="AJ306" s="181">
        <f t="shared" si="429"/>
        <v>0.96516393442622961</v>
      </c>
      <c r="AK306" s="181">
        <f t="shared" si="430"/>
        <v>1.7001214329083183</v>
      </c>
      <c r="AM306" s="565">
        <f t="shared" si="431"/>
        <v>270</v>
      </c>
      <c r="AN306" s="474">
        <f t="shared" si="432"/>
        <v>241.53515355592518</v>
      </c>
      <c r="AP306">
        <f t="shared" si="433"/>
        <v>270</v>
      </c>
      <c r="AQ306">
        <f t="shared" si="434"/>
        <v>241.53515355592518</v>
      </c>
      <c r="AS306" s="6">
        <f t="shared" si="406"/>
        <v>4.1401840902983071</v>
      </c>
      <c r="AT306" s="6">
        <f t="shared" si="435"/>
        <v>1.6086065573770494</v>
      </c>
      <c r="AU306" s="6">
        <f t="shared" si="439"/>
        <v>2.5315775329212578</v>
      </c>
      <c r="AV306" s="6"/>
      <c r="AW306" s="181">
        <f t="shared" si="440"/>
        <v>0.38853503184713378</v>
      </c>
      <c r="AX306" s="181"/>
      <c r="CB306" s="583">
        <f t="shared" si="436"/>
        <v>-50</v>
      </c>
      <c r="CC306">
        <f t="shared" si="437"/>
        <v>-50</v>
      </c>
    </row>
    <row r="307" spans="5:81" x14ac:dyDescent="0.2">
      <c r="E307" s="178">
        <v>91</v>
      </c>
      <c r="F307" s="225">
        <f t="shared" si="438"/>
        <v>0.27300000000000002</v>
      </c>
      <c r="G307" s="225"/>
      <c r="H307" s="225">
        <f t="shared" si="408"/>
        <v>4.0950000000000006</v>
      </c>
      <c r="I307" s="561">
        <f t="shared" si="409"/>
        <v>24</v>
      </c>
      <c r="J307" s="456">
        <f t="shared" si="410"/>
        <v>15.25</v>
      </c>
      <c r="K307" s="456">
        <f t="shared" si="411"/>
        <v>39.25</v>
      </c>
      <c r="L307" s="456"/>
      <c r="M307" s="225">
        <f t="shared" si="412"/>
        <v>0.38853503184713378</v>
      </c>
      <c r="N307" s="180">
        <f t="shared" si="413"/>
        <v>6.0844585987261137</v>
      </c>
      <c r="O307" s="180">
        <f t="shared" si="405"/>
        <v>4.0950000000000006</v>
      </c>
      <c r="P307" s="225">
        <f t="shared" si="414"/>
        <v>0.40563057324840757</v>
      </c>
      <c r="Q307" s="225">
        <f t="shared" si="415"/>
        <v>15</v>
      </c>
      <c r="R307" s="225"/>
      <c r="S307" s="180">
        <f t="shared" si="416"/>
        <v>33.540203620225952</v>
      </c>
      <c r="T307" s="180">
        <f t="shared" si="417"/>
        <v>15</v>
      </c>
      <c r="U307" s="225">
        <f t="shared" si="418"/>
        <v>0.97588797814207662</v>
      </c>
      <c r="V307" s="225">
        <f t="shared" si="419"/>
        <v>1.6264799635701277</v>
      </c>
      <c r="W307" s="225">
        <f t="shared" si="420"/>
        <v>2.5597061721759391</v>
      </c>
      <c r="X307" s="205">
        <f t="shared" si="421"/>
        <v>350</v>
      </c>
      <c r="Y307" s="456">
        <f t="shared" si="407"/>
        <v>238.88092109926663</v>
      </c>
      <c r="AA307" s="225">
        <f t="shared" si="422"/>
        <v>0.66606005459508633</v>
      </c>
      <c r="AB307" s="181">
        <f t="shared" si="423"/>
        <v>1.7470427661510461</v>
      </c>
      <c r="AC307" s="181">
        <f t="shared" si="424"/>
        <v>0.20363619503544039</v>
      </c>
      <c r="AD307" s="181"/>
      <c r="AE307" s="181">
        <f t="shared" si="425"/>
        <v>0.76065573770491812</v>
      </c>
      <c r="AF307" s="565">
        <f t="shared" si="426"/>
        <v>2475.1783590963137</v>
      </c>
      <c r="AG307" s="548">
        <f t="shared" si="427"/>
        <v>3.8603278688524589E-2</v>
      </c>
      <c r="AI307" s="181">
        <f t="shared" si="428"/>
        <v>0.77120036307045392</v>
      </c>
      <c r="AJ307" s="181">
        <f t="shared" si="429"/>
        <v>0.97588797814207662</v>
      </c>
      <c r="AK307" s="181">
        <f t="shared" si="430"/>
        <v>1.7080651689941306</v>
      </c>
      <c r="AM307" s="565">
        <f t="shared" si="431"/>
        <v>273</v>
      </c>
      <c r="AN307" s="474">
        <f t="shared" si="432"/>
        <v>238.88092109926663</v>
      </c>
      <c r="AP307">
        <f t="shared" si="433"/>
        <v>273</v>
      </c>
      <c r="AQ307">
        <f t="shared" si="434"/>
        <v>238.88092109926663</v>
      </c>
      <c r="AS307" s="6">
        <f t="shared" si="406"/>
        <v>4.186186135746067</v>
      </c>
      <c r="AT307" s="6">
        <f t="shared" si="435"/>
        <v>1.6264799635701277</v>
      </c>
      <c r="AU307" s="6">
        <f t="shared" si="439"/>
        <v>2.5597061721759395</v>
      </c>
      <c r="AV307" s="6"/>
      <c r="AW307" s="181">
        <f t="shared" si="440"/>
        <v>0.38853503184713367</v>
      </c>
      <c r="AX307" s="181"/>
      <c r="CB307" s="583">
        <f t="shared" si="436"/>
        <v>-50</v>
      </c>
      <c r="CC307">
        <f t="shared" si="437"/>
        <v>-50</v>
      </c>
    </row>
    <row r="308" spans="5:81" x14ac:dyDescent="0.2">
      <c r="E308" s="178">
        <v>92</v>
      </c>
      <c r="F308" s="225">
        <f t="shared" si="438"/>
        <v>0.27600000000000002</v>
      </c>
      <c r="G308" s="225"/>
      <c r="H308" s="225">
        <f t="shared" si="408"/>
        <v>4.1400000000000006</v>
      </c>
      <c r="I308" s="561">
        <f t="shared" si="409"/>
        <v>24</v>
      </c>
      <c r="J308" s="456">
        <f t="shared" si="410"/>
        <v>15.25</v>
      </c>
      <c r="K308" s="456">
        <f t="shared" si="411"/>
        <v>39.25</v>
      </c>
      <c r="L308" s="456"/>
      <c r="M308" s="225">
        <f t="shared" si="412"/>
        <v>0.38853503184713378</v>
      </c>
      <c r="N308" s="180">
        <f t="shared" si="413"/>
        <v>6.0844585987261137</v>
      </c>
      <c r="O308" s="180">
        <f t="shared" si="405"/>
        <v>4.1400000000000006</v>
      </c>
      <c r="P308" s="225">
        <f t="shared" si="414"/>
        <v>0.40563057324840757</v>
      </c>
      <c r="Q308" s="225">
        <f t="shared" si="415"/>
        <v>15</v>
      </c>
      <c r="R308" s="225"/>
      <c r="S308" s="180">
        <f t="shared" si="416"/>
        <v>32.920016686865068</v>
      </c>
      <c r="T308" s="180">
        <f t="shared" si="417"/>
        <v>15</v>
      </c>
      <c r="U308" s="225">
        <f t="shared" si="418"/>
        <v>0.98661202185792352</v>
      </c>
      <c r="V308" s="225">
        <f t="shared" si="419"/>
        <v>1.644353369763206</v>
      </c>
      <c r="W308" s="225">
        <f t="shared" si="420"/>
        <v>2.5878348114306191</v>
      </c>
      <c r="X308" s="205">
        <f t="shared" si="421"/>
        <v>350</v>
      </c>
      <c r="Y308" s="456">
        <f t="shared" si="407"/>
        <v>236.28438934818766</v>
      </c>
      <c r="AA308" s="225">
        <f t="shared" si="422"/>
        <v>0.66606005459508633</v>
      </c>
      <c r="AB308" s="181">
        <f t="shared" si="423"/>
        <v>1.7470427661510461</v>
      </c>
      <c r="AC308" s="181">
        <f t="shared" si="424"/>
        <v>0.20363619503544039</v>
      </c>
      <c r="AD308" s="181"/>
      <c r="AE308" s="181">
        <f t="shared" si="425"/>
        <v>0.76065573770491812</v>
      </c>
      <c r="AF308" s="565">
        <f t="shared" si="426"/>
        <v>2502.3781212841855</v>
      </c>
      <c r="AG308" s="548">
        <f t="shared" si="427"/>
        <v>3.8603278688524589E-2</v>
      </c>
      <c r="AI308" s="181">
        <f t="shared" si="428"/>
        <v>0.77542615011728511</v>
      </c>
      <c r="AJ308" s="181">
        <f t="shared" si="429"/>
        <v>0.98661202185792352</v>
      </c>
      <c r="AK308" s="181">
        <f t="shared" si="430"/>
        <v>1.7160089050799434</v>
      </c>
      <c r="AM308" s="565">
        <f t="shared" si="431"/>
        <v>276</v>
      </c>
      <c r="AN308" s="474">
        <f t="shared" si="432"/>
        <v>236.28438934818766</v>
      </c>
      <c r="AP308">
        <f t="shared" si="433"/>
        <v>276</v>
      </c>
      <c r="AQ308">
        <f t="shared" si="434"/>
        <v>236.28438934818766</v>
      </c>
      <c r="AS308" s="6">
        <f t="shared" si="406"/>
        <v>4.2321881811938251</v>
      </c>
      <c r="AT308" s="6">
        <f t="shared" si="435"/>
        <v>1.644353369763206</v>
      </c>
      <c r="AU308" s="6">
        <f t="shared" si="439"/>
        <v>2.5878348114306191</v>
      </c>
      <c r="AV308" s="6"/>
      <c r="AW308" s="181">
        <f t="shared" si="440"/>
        <v>0.38853503184713378</v>
      </c>
      <c r="AX308" s="181"/>
      <c r="CB308" s="583">
        <f t="shared" si="436"/>
        <v>-50</v>
      </c>
      <c r="CC308">
        <f t="shared" si="437"/>
        <v>-50</v>
      </c>
    </row>
    <row r="309" spans="5:81" x14ac:dyDescent="0.2">
      <c r="E309" s="178">
        <v>93</v>
      </c>
      <c r="F309" s="225">
        <f t="shared" si="438"/>
        <v>0.27900000000000003</v>
      </c>
      <c r="G309" s="225"/>
      <c r="H309" s="225">
        <f t="shared" si="408"/>
        <v>4.1850000000000005</v>
      </c>
      <c r="I309" s="561">
        <f t="shared" si="409"/>
        <v>24</v>
      </c>
      <c r="J309" s="456">
        <f t="shared" si="410"/>
        <v>15.25</v>
      </c>
      <c r="K309" s="456">
        <f t="shared" si="411"/>
        <v>39.25</v>
      </c>
      <c r="L309" s="456"/>
      <c r="M309" s="225">
        <f t="shared" si="412"/>
        <v>0.38853503184713378</v>
      </c>
      <c r="N309" s="180">
        <f t="shared" si="413"/>
        <v>6.0844585987261137</v>
      </c>
      <c r="O309" s="180">
        <f t="shared" si="405"/>
        <v>4.1850000000000005</v>
      </c>
      <c r="P309" s="225">
        <f t="shared" si="414"/>
        <v>0.40563057324840757</v>
      </c>
      <c r="Q309" s="225">
        <f t="shared" si="415"/>
        <v>15</v>
      </c>
      <c r="R309" s="225"/>
      <c r="S309" s="180">
        <f t="shared" si="416"/>
        <v>32.313288830892866</v>
      </c>
      <c r="T309" s="180">
        <f t="shared" si="417"/>
        <v>15</v>
      </c>
      <c r="U309" s="225">
        <f t="shared" si="418"/>
        <v>0.99733606557377052</v>
      </c>
      <c r="V309" s="225">
        <f t="shared" si="419"/>
        <v>1.6622267759562843</v>
      </c>
      <c r="W309" s="225">
        <f t="shared" si="420"/>
        <v>2.6159634506853</v>
      </c>
      <c r="X309" s="205">
        <f t="shared" si="421"/>
        <v>350</v>
      </c>
      <c r="Y309" s="456">
        <f t="shared" si="407"/>
        <v>233.74369698960501</v>
      </c>
      <c r="AA309" s="225">
        <f t="shared" si="422"/>
        <v>0.66606005459508633</v>
      </c>
      <c r="AB309" s="181">
        <f t="shared" si="423"/>
        <v>1.7470427661510461</v>
      </c>
      <c r="AC309" s="181">
        <f t="shared" si="424"/>
        <v>0.20363619503544039</v>
      </c>
      <c r="AD309" s="181"/>
      <c r="AE309" s="181">
        <f t="shared" si="425"/>
        <v>0.76065573770491812</v>
      </c>
      <c r="AF309" s="565">
        <f t="shared" si="426"/>
        <v>2529.5778834720572</v>
      </c>
      <c r="AG309" s="548">
        <f t="shared" si="427"/>
        <v>3.8603278688524589E-2</v>
      </c>
      <c r="AI309" s="181">
        <f t="shared" si="428"/>
        <v>0.7796290326632459</v>
      </c>
      <c r="AJ309" s="181">
        <f t="shared" si="429"/>
        <v>0.99733606557377052</v>
      </c>
      <c r="AK309" s="181">
        <f t="shared" si="430"/>
        <v>1.7239526411657558</v>
      </c>
      <c r="AM309" s="565">
        <f t="shared" si="431"/>
        <v>279</v>
      </c>
      <c r="AN309" s="474">
        <f t="shared" si="432"/>
        <v>233.74369698960501</v>
      </c>
      <c r="AP309">
        <f t="shared" si="433"/>
        <v>279</v>
      </c>
      <c r="AQ309">
        <f t="shared" si="434"/>
        <v>233.74369698960501</v>
      </c>
      <c r="AS309" s="6">
        <f t="shared" si="406"/>
        <v>4.2781902266415841</v>
      </c>
      <c r="AT309" s="6">
        <f t="shared" si="435"/>
        <v>1.6622267759562843</v>
      </c>
      <c r="AU309" s="6">
        <f t="shared" si="439"/>
        <v>2.6159634506852996</v>
      </c>
      <c r="AV309" s="6"/>
      <c r="AW309" s="181">
        <f t="shared" si="440"/>
        <v>0.38853503184713378</v>
      </c>
      <c r="AX309" s="181"/>
      <c r="CB309" s="583">
        <f t="shared" si="436"/>
        <v>-50</v>
      </c>
      <c r="CC309">
        <f t="shared" si="437"/>
        <v>-50</v>
      </c>
    </row>
    <row r="310" spans="5:81" x14ac:dyDescent="0.2">
      <c r="E310" s="178">
        <v>94</v>
      </c>
      <c r="F310" s="225">
        <f t="shared" si="438"/>
        <v>0.28199999999999997</v>
      </c>
      <c r="G310" s="225"/>
      <c r="H310" s="225">
        <f t="shared" si="408"/>
        <v>4.2299999999999995</v>
      </c>
      <c r="I310" s="561">
        <f t="shared" si="409"/>
        <v>24</v>
      </c>
      <c r="J310" s="456">
        <f t="shared" si="410"/>
        <v>15.25</v>
      </c>
      <c r="K310" s="456">
        <f t="shared" si="411"/>
        <v>39.25</v>
      </c>
      <c r="L310" s="456"/>
      <c r="M310" s="225">
        <f t="shared" si="412"/>
        <v>0.38853503184713378</v>
      </c>
      <c r="N310" s="180">
        <f t="shared" si="413"/>
        <v>6.0844585987261137</v>
      </c>
      <c r="O310" s="180">
        <f t="shared" si="405"/>
        <v>4.2299999999999995</v>
      </c>
      <c r="P310" s="225">
        <f t="shared" si="414"/>
        <v>0.40563057324840757</v>
      </c>
      <c r="Q310" s="225">
        <f t="shared" si="415"/>
        <v>15</v>
      </c>
      <c r="R310" s="225"/>
      <c r="S310" s="180">
        <f t="shared" si="416"/>
        <v>31.719593227753325</v>
      </c>
      <c r="T310" s="180">
        <f t="shared" si="417"/>
        <v>15</v>
      </c>
      <c r="U310" s="225">
        <f t="shared" si="418"/>
        <v>1.0080601092896173</v>
      </c>
      <c r="V310" s="225">
        <f t="shared" si="419"/>
        <v>1.6801001821493624</v>
      </c>
      <c r="W310" s="225">
        <f t="shared" si="420"/>
        <v>2.64409208993998</v>
      </c>
      <c r="X310" s="205">
        <f t="shared" si="421"/>
        <v>350</v>
      </c>
      <c r="Y310" s="456">
        <f t="shared" si="407"/>
        <v>231.25706191524756</v>
      </c>
      <c r="AA310" s="225">
        <f t="shared" si="422"/>
        <v>0.66606005459508633</v>
      </c>
      <c r="AB310" s="181">
        <f t="shared" si="423"/>
        <v>1.7470427661510461</v>
      </c>
      <c r="AC310" s="181">
        <f t="shared" si="424"/>
        <v>0.20363619503544039</v>
      </c>
      <c r="AD310" s="181"/>
      <c r="AE310" s="181">
        <f t="shared" si="425"/>
        <v>0.76065573770491812</v>
      </c>
      <c r="AF310" s="565">
        <f t="shared" si="426"/>
        <v>2556.7776456599281</v>
      </c>
      <c r="AG310" s="548">
        <f t="shared" si="427"/>
        <v>3.8603278688524589E-2</v>
      </c>
      <c r="AI310" s="181">
        <f t="shared" si="428"/>
        <v>0.78380937915869753</v>
      </c>
      <c r="AJ310" s="181">
        <f t="shared" si="429"/>
        <v>1.0080601092896173</v>
      </c>
      <c r="AK310" s="181">
        <f t="shared" si="430"/>
        <v>1.7318963772515683</v>
      </c>
      <c r="AM310" s="565">
        <f t="shared" si="431"/>
        <v>282</v>
      </c>
      <c r="AN310" s="474">
        <f t="shared" si="432"/>
        <v>231.25706191524756</v>
      </c>
      <c r="AP310">
        <f t="shared" si="433"/>
        <v>282</v>
      </c>
      <c r="AQ310">
        <f t="shared" si="434"/>
        <v>231.25706191524756</v>
      </c>
      <c r="AS310" s="6">
        <f t="shared" si="406"/>
        <v>4.3241922720893413</v>
      </c>
      <c r="AT310" s="6">
        <f t="shared" si="435"/>
        <v>1.6801001821493624</v>
      </c>
      <c r="AU310" s="6">
        <f t="shared" si="439"/>
        <v>2.6440920899399787</v>
      </c>
      <c r="AV310" s="6"/>
      <c r="AW310" s="181">
        <f t="shared" si="440"/>
        <v>0.38853503184713389</v>
      </c>
      <c r="AX310" s="181"/>
      <c r="CB310" s="583">
        <f t="shared" si="436"/>
        <v>-50</v>
      </c>
      <c r="CC310">
        <f t="shared" si="437"/>
        <v>-50</v>
      </c>
    </row>
    <row r="311" spans="5:81" x14ac:dyDescent="0.2">
      <c r="E311" s="178">
        <v>95</v>
      </c>
      <c r="F311" s="225">
        <f t="shared" si="438"/>
        <v>0.28499999999999998</v>
      </c>
      <c r="G311" s="225"/>
      <c r="H311" s="225">
        <f t="shared" si="408"/>
        <v>4.2749999999999995</v>
      </c>
      <c r="I311" s="561">
        <f t="shared" si="409"/>
        <v>24</v>
      </c>
      <c r="J311" s="456">
        <f t="shared" si="410"/>
        <v>15.25</v>
      </c>
      <c r="K311" s="456">
        <f t="shared" si="411"/>
        <v>39.25</v>
      </c>
      <c r="L311" s="456"/>
      <c r="M311" s="225">
        <f t="shared" si="412"/>
        <v>0.38853503184713378</v>
      </c>
      <c r="N311" s="180">
        <f t="shared" si="413"/>
        <v>6.0844585987261137</v>
      </c>
      <c r="O311" s="180">
        <f t="shared" si="405"/>
        <v>4.2749999999999995</v>
      </c>
      <c r="P311" s="225">
        <f t="shared" si="414"/>
        <v>0.40563057324840757</v>
      </c>
      <c r="Q311" s="225">
        <f t="shared" si="415"/>
        <v>15</v>
      </c>
      <c r="R311" s="225"/>
      <c r="S311" s="180">
        <f t="shared" si="416"/>
        <v>31.138521103278663</v>
      </c>
      <c r="T311" s="180">
        <f t="shared" si="417"/>
        <v>15</v>
      </c>
      <c r="U311" s="225">
        <f t="shared" si="418"/>
        <v>1.0187841530054642</v>
      </c>
      <c r="V311" s="225">
        <f t="shared" si="419"/>
        <v>1.6979735883424403</v>
      </c>
      <c r="W311" s="225">
        <f t="shared" si="420"/>
        <v>2.6722207291946605</v>
      </c>
      <c r="X311" s="205">
        <f t="shared" si="421"/>
        <v>350</v>
      </c>
      <c r="Y311" s="456">
        <f t="shared" si="407"/>
        <v>228.82277705298185</v>
      </c>
      <c r="AA311" s="225">
        <f t="shared" si="422"/>
        <v>0.66606005459508633</v>
      </c>
      <c r="AB311" s="181">
        <f t="shared" si="423"/>
        <v>1.7470427661510461</v>
      </c>
      <c r="AC311" s="181">
        <f t="shared" si="424"/>
        <v>0.20363619503544039</v>
      </c>
      <c r="AD311" s="181"/>
      <c r="AE311" s="181">
        <f t="shared" si="425"/>
        <v>0.76065573770491812</v>
      </c>
      <c r="AF311" s="565">
        <f t="shared" si="426"/>
        <v>2583.9774078477999</v>
      </c>
      <c r="AG311" s="548">
        <f t="shared" si="427"/>
        <v>3.8603278688524589E-2</v>
      </c>
      <c r="AI311" s="181">
        <f t="shared" si="428"/>
        <v>0.78796754828029369</v>
      </c>
      <c r="AJ311" s="181">
        <f t="shared" si="429"/>
        <v>1.0187841530054642</v>
      </c>
      <c r="AK311" s="181">
        <f t="shared" si="430"/>
        <v>1.7398401133373809</v>
      </c>
      <c r="AM311" s="565">
        <f t="shared" si="431"/>
        <v>285</v>
      </c>
      <c r="AN311" s="474">
        <f t="shared" si="432"/>
        <v>228.82277705298185</v>
      </c>
      <c r="AP311">
        <f t="shared" si="433"/>
        <v>285</v>
      </c>
      <c r="AQ311">
        <f t="shared" si="434"/>
        <v>228.82277705298185</v>
      </c>
      <c r="AS311" s="6">
        <f t="shared" si="406"/>
        <v>4.3701943175371003</v>
      </c>
      <c r="AT311" s="6">
        <f t="shared" si="435"/>
        <v>1.6979735883424403</v>
      </c>
      <c r="AU311" s="6">
        <f t="shared" si="439"/>
        <v>2.67222072919466</v>
      </c>
      <c r="AV311" s="6"/>
      <c r="AW311" s="181">
        <f t="shared" si="440"/>
        <v>0.38853503184713378</v>
      </c>
      <c r="AX311" s="181"/>
      <c r="CB311" s="583">
        <f t="shared" si="436"/>
        <v>-50</v>
      </c>
      <c r="CC311">
        <f t="shared" si="437"/>
        <v>-50</v>
      </c>
    </row>
    <row r="312" spans="5:81" x14ac:dyDescent="0.2">
      <c r="E312" s="178">
        <v>96</v>
      </c>
      <c r="F312" s="225">
        <f t="shared" si="438"/>
        <v>0.28799999999999998</v>
      </c>
      <c r="G312" s="225"/>
      <c r="H312" s="225">
        <f t="shared" ref="H312:H316" si="441">F312*Vout</f>
        <v>4.3199999999999994</v>
      </c>
      <c r="I312" s="561">
        <f t="shared" si="409"/>
        <v>24</v>
      </c>
      <c r="J312" s="456">
        <f t="shared" si="410"/>
        <v>15.25</v>
      </c>
      <c r="K312" s="456">
        <f t="shared" si="411"/>
        <v>39.25</v>
      </c>
      <c r="L312" s="456"/>
      <c r="M312" s="225">
        <f t="shared" si="412"/>
        <v>0.38853503184713378</v>
      </c>
      <c r="N312" s="180">
        <f t="shared" ref="N312:N316" si="442">M312*I312*Isw_max*0.5*Efficiency</f>
        <v>6.0844585987261137</v>
      </c>
      <c r="O312" s="180">
        <f t="shared" si="405"/>
        <v>4.3199999999999994</v>
      </c>
      <c r="P312" s="225">
        <f t="shared" ref="P312:P316" si="443">N312/Vout</f>
        <v>0.40563057324840757</v>
      </c>
      <c r="Q312" s="225">
        <f t="shared" si="415"/>
        <v>15</v>
      </c>
      <c r="R312" s="225"/>
      <c r="S312" s="180">
        <f t="shared" si="416"/>
        <v>30.56968079632788</v>
      </c>
      <c r="T312" s="180">
        <f t="shared" ref="T312:T316" si="444">MIN(Vout, S312)</f>
        <v>15</v>
      </c>
      <c r="U312" s="225">
        <f t="shared" si="418"/>
        <v>1.0295081967213113</v>
      </c>
      <c r="V312" s="225">
        <f t="shared" ref="V312:V316" si="445">L*U312/I312*1000000</f>
        <v>1.7158469945355193</v>
      </c>
      <c r="W312" s="225">
        <f t="shared" si="420"/>
        <v>2.7003493684493414</v>
      </c>
      <c r="X312" s="205">
        <f t="shared" si="421"/>
        <v>350</v>
      </c>
      <c r="Y312" s="456">
        <f t="shared" si="407"/>
        <v>226.43920645867985</v>
      </c>
      <c r="AA312" s="225">
        <f t="shared" si="422"/>
        <v>0.66606005459508633</v>
      </c>
      <c r="AB312" s="181">
        <f t="shared" ref="AB312:AB316" si="446">L*AA312/J312*1000000</f>
        <v>1.7470427661510461</v>
      </c>
      <c r="AC312" s="181">
        <f t="shared" ref="AC312:AC316" si="447">0.5*AB312*AA312*Nps*X312/1000</f>
        <v>0.20363619503544039</v>
      </c>
      <c r="AD312" s="181"/>
      <c r="AE312" s="181">
        <f t="shared" si="425"/>
        <v>0.76065573770491812</v>
      </c>
      <c r="AF312" s="565">
        <f t="shared" ref="AF312:AF316" si="448">MAX(10000,F312/(0.5*AE312/1000000*Isw_min*Nps))/1000</f>
        <v>2611.1771700356712</v>
      </c>
      <c r="AG312" s="548">
        <f t="shared" si="427"/>
        <v>3.8603278688524589E-2</v>
      </c>
      <c r="AI312" s="181">
        <f t="shared" si="428"/>
        <v>0.79210388929014308</v>
      </c>
      <c r="AJ312" s="181">
        <f t="shared" ref="AJ312:AJ316" si="449">MAX(IF(F312&gt;AC312,U312,AI312),Isw_min)</f>
        <v>1.0295081967213113</v>
      </c>
      <c r="AK312" s="181">
        <f t="shared" ref="AK312:AK316" si="450">IF(F312&gt;AG312, (AJ312-Isw_min)/1.08*0.8+1.2, AF312*0.2/350+1)</f>
        <v>1.7477838494231936</v>
      </c>
      <c r="AM312" s="565">
        <f t="shared" si="431"/>
        <v>288</v>
      </c>
      <c r="AN312" s="474">
        <f t="shared" si="432"/>
        <v>226.43920645867985</v>
      </c>
      <c r="AP312">
        <f t="shared" si="433"/>
        <v>288</v>
      </c>
      <c r="AQ312">
        <f t="shared" si="434"/>
        <v>226.43920645867985</v>
      </c>
      <c r="AS312" s="6">
        <f t="shared" si="406"/>
        <v>4.4161963629848611</v>
      </c>
      <c r="AT312" s="6">
        <f t="shared" si="435"/>
        <v>1.7158469945355193</v>
      </c>
      <c r="AU312" s="6">
        <f t="shared" si="439"/>
        <v>2.7003493684493418</v>
      </c>
      <c r="AV312" s="6"/>
      <c r="AW312" s="181">
        <f t="shared" si="440"/>
        <v>0.38853503184713373</v>
      </c>
      <c r="AX312" s="181"/>
      <c r="CB312" s="583">
        <f t="shared" si="436"/>
        <v>-50</v>
      </c>
      <c r="CC312">
        <f t="shared" si="437"/>
        <v>-50</v>
      </c>
    </row>
    <row r="313" spans="5:81" x14ac:dyDescent="0.2">
      <c r="E313" s="178">
        <v>97</v>
      </c>
      <c r="F313" s="225">
        <f t="shared" ref="F313:F316" si="451">IF(PLOT_TYPE=1, E313/100*Iout_max, min_I*EXP(N313*rr/100))</f>
        <v>0.29099999999999998</v>
      </c>
      <c r="G313" s="225"/>
      <c r="H313" s="225">
        <f t="shared" si="441"/>
        <v>4.3649999999999993</v>
      </c>
      <c r="I313" s="561">
        <f t="shared" si="409"/>
        <v>24</v>
      </c>
      <c r="J313" s="456">
        <f t="shared" si="410"/>
        <v>15.25</v>
      </c>
      <c r="K313" s="456">
        <f t="shared" si="411"/>
        <v>39.25</v>
      </c>
      <c r="L313" s="456"/>
      <c r="M313" s="225">
        <f t="shared" si="412"/>
        <v>0.38853503184713378</v>
      </c>
      <c r="N313" s="180">
        <f t="shared" si="442"/>
        <v>6.0844585987261137</v>
      </c>
      <c r="O313" s="180">
        <f t="shared" si="405"/>
        <v>4.3649999999999993</v>
      </c>
      <c r="P313" s="225">
        <f t="shared" si="443"/>
        <v>0.40563057324840757</v>
      </c>
      <c r="Q313" s="225">
        <f t="shared" si="415"/>
        <v>15</v>
      </c>
      <c r="R313" s="225"/>
      <c r="S313" s="180">
        <f t="shared" si="416"/>
        <v>30.012696879518096</v>
      </c>
      <c r="T313" s="180">
        <f t="shared" si="444"/>
        <v>15</v>
      </c>
      <c r="U313" s="225">
        <f t="shared" si="418"/>
        <v>1.0402322404371582</v>
      </c>
      <c r="V313" s="225">
        <f t="shared" si="445"/>
        <v>1.7337204007285971</v>
      </c>
      <c r="W313" s="225">
        <f t="shared" si="420"/>
        <v>2.7284780077040218</v>
      </c>
      <c r="X313" s="205">
        <f t="shared" si="421"/>
        <v>350</v>
      </c>
      <c r="Y313" s="456">
        <f t="shared" si="407"/>
        <v>224.10478164982752</v>
      </c>
      <c r="AA313" s="225">
        <f t="shared" si="422"/>
        <v>0.66606005459508633</v>
      </c>
      <c r="AB313" s="181">
        <f t="shared" si="446"/>
        <v>1.7470427661510461</v>
      </c>
      <c r="AC313" s="181">
        <f t="shared" si="447"/>
        <v>0.20363619503544039</v>
      </c>
      <c r="AD313" s="181"/>
      <c r="AE313" s="181">
        <f t="shared" si="425"/>
        <v>0.76065573770491812</v>
      </c>
      <c r="AF313" s="565">
        <f t="shared" si="448"/>
        <v>2638.376932223543</v>
      </c>
      <c r="AG313" s="548">
        <f t="shared" si="427"/>
        <v>3.8603278688524589E-2</v>
      </c>
      <c r="AI313" s="181">
        <f t="shared" si="428"/>
        <v>0.79621874237817691</v>
      </c>
      <c r="AJ313" s="181">
        <f t="shared" si="449"/>
        <v>1.0402322404371582</v>
      </c>
      <c r="AK313" s="181">
        <f t="shared" si="450"/>
        <v>1.755727585509006</v>
      </c>
      <c r="AM313" s="565">
        <f t="shared" si="431"/>
        <v>291</v>
      </c>
      <c r="AN313" s="474">
        <f t="shared" si="432"/>
        <v>224.10478164982752</v>
      </c>
      <c r="AP313">
        <f t="shared" si="433"/>
        <v>291</v>
      </c>
      <c r="AQ313">
        <f t="shared" si="434"/>
        <v>224.10478164982752</v>
      </c>
      <c r="AS313" s="6">
        <f t="shared" si="406"/>
        <v>4.4621984084326192</v>
      </c>
      <c r="AT313" s="6">
        <f t="shared" si="435"/>
        <v>1.7337204007285971</v>
      </c>
      <c r="AU313" s="6">
        <f t="shared" si="439"/>
        <v>2.7284780077040223</v>
      </c>
      <c r="AV313" s="6"/>
      <c r="AW313" s="181">
        <f t="shared" si="440"/>
        <v>0.38853503184713373</v>
      </c>
      <c r="AX313" s="181"/>
      <c r="CB313" s="583">
        <f t="shared" si="436"/>
        <v>-50</v>
      </c>
      <c r="CC313">
        <f t="shared" si="437"/>
        <v>-50</v>
      </c>
    </row>
    <row r="314" spans="5:81" x14ac:dyDescent="0.2">
      <c r="E314" s="178">
        <v>98</v>
      </c>
      <c r="F314" s="225">
        <f t="shared" si="451"/>
        <v>0.29399999999999998</v>
      </c>
      <c r="G314" s="225"/>
      <c r="H314" s="225">
        <f t="shared" si="441"/>
        <v>4.41</v>
      </c>
      <c r="I314" s="561">
        <f t="shared" si="409"/>
        <v>24</v>
      </c>
      <c r="J314" s="456">
        <f t="shared" si="410"/>
        <v>15.25</v>
      </c>
      <c r="K314" s="456">
        <f t="shared" si="411"/>
        <v>39.25</v>
      </c>
      <c r="L314" s="456"/>
      <c r="M314" s="225">
        <f t="shared" si="412"/>
        <v>0.38853503184713378</v>
      </c>
      <c r="N314" s="180">
        <f t="shared" si="442"/>
        <v>6.0844585987261137</v>
      </c>
      <c r="O314" s="180">
        <f t="shared" si="405"/>
        <v>4.41</v>
      </c>
      <c r="P314" s="225">
        <f t="shared" si="443"/>
        <v>0.40563057324840757</v>
      </c>
      <c r="Q314" s="225">
        <f t="shared" si="415"/>
        <v>15</v>
      </c>
      <c r="R314" s="225"/>
      <c r="S314" s="180">
        <f t="shared" si="416"/>
        <v>29.467209333904126</v>
      </c>
      <c r="T314" s="180">
        <f t="shared" si="444"/>
        <v>15</v>
      </c>
      <c r="U314" s="225">
        <f t="shared" si="418"/>
        <v>1.0509562841530053</v>
      </c>
      <c r="V314" s="225">
        <f t="shared" si="445"/>
        <v>1.7515938069216759</v>
      </c>
      <c r="W314" s="225">
        <f t="shared" si="420"/>
        <v>2.7566066469587032</v>
      </c>
      <c r="X314" s="205">
        <f t="shared" si="421"/>
        <v>350</v>
      </c>
      <c r="Y314" s="456">
        <f t="shared" si="407"/>
        <v>221.81799816360476</v>
      </c>
      <c r="AA314" s="225">
        <f t="shared" si="422"/>
        <v>0.66606005459508633</v>
      </c>
      <c r="AB314" s="181">
        <f t="shared" si="446"/>
        <v>1.7470427661510461</v>
      </c>
      <c r="AC314" s="181">
        <f t="shared" si="447"/>
        <v>0.20363619503544039</v>
      </c>
      <c r="AD314" s="181"/>
      <c r="AE314" s="181">
        <f t="shared" si="425"/>
        <v>0.76065573770491812</v>
      </c>
      <c r="AF314" s="565">
        <f t="shared" si="448"/>
        <v>2665.5766944114148</v>
      </c>
      <c r="AG314" s="548">
        <f t="shared" si="427"/>
        <v>3.8603278688524589E-2</v>
      </c>
      <c r="AI314" s="181">
        <f t="shared" si="428"/>
        <v>0.80031243898867399</v>
      </c>
      <c r="AJ314" s="181">
        <f t="shared" si="449"/>
        <v>1.0509562841530053</v>
      </c>
      <c r="AK314" s="181">
        <f t="shared" si="450"/>
        <v>1.7636713215948188</v>
      </c>
      <c r="AM314" s="565">
        <f t="shared" si="431"/>
        <v>294</v>
      </c>
      <c r="AN314" s="474">
        <f t="shared" si="432"/>
        <v>221.81799816360476</v>
      </c>
      <c r="AP314">
        <f t="shared" si="433"/>
        <v>294</v>
      </c>
      <c r="AQ314">
        <f t="shared" si="434"/>
        <v>221.81799816360476</v>
      </c>
      <c r="AS314" s="6">
        <f t="shared" si="406"/>
        <v>4.508200453880379</v>
      </c>
      <c r="AT314" s="6">
        <f t="shared" si="435"/>
        <v>1.7515938069216759</v>
      </c>
      <c r="AU314" s="6">
        <f t="shared" si="439"/>
        <v>2.7566066469587032</v>
      </c>
      <c r="AV314" s="6"/>
      <c r="AW314" s="181">
        <f t="shared" si="440"/>
        <v>0.38853503184713373</v>
      </c>
      <c r="AX314" s="181"/>
      <c r="CB314" s="583">
        <f t="shared" si="436"/>
        <v>-50</v>
      </c>
      <c r="CC314">
        <f t="shared" si="437"/>
        <v>-50</v>
      </c>
    </row>
    <row r="315" spans="5:81" x14ac:dyDescent="0.2">
      <c r="E315" s="178">
        <v>99</v>
      </c>
      <c r="F315" s="225">
        <f t="shared" si="451"/>
        <v>0.29699999999999999</v>
      </c>
      <c r="G315" s="225"/>
      <c r="H315" s="225">
        <f t="shared" si="441"/>
        <v>4.4550000000000001</v>
      </c>
      <c r="I315" s="561">
        <f t="shared" si="409"/>
        <v>24</v>
      </c>
      <c r="J315" s="456">
        <f t="shared" si="410"/>
        <v>15.25</v>
      </c>
      <c r="K315" s="456">
        <f t="shared" si="411"/>
        <v>39.25</v>
      </c>
      <c r="L315" s="456"/>
      <c r="M315" s="225">
        <f t="shared" si="412"/>
        <v>0.38853503184713378</v>
      </c>
      <c r="N315" s="180">
        <f t="shared" si="442"/>
        <v>6.0844585987261137</v>
      </c>
      <c r="O315" s="180">
        <f t="shared" si="405"/>
        <v>4.4550000000000001</v>
      </c>
      <c r="P315" s="225">
        <f t="shared" si="443"/>
        <v>0.40563057324840757</v>
      </c>
      <c r="Q315" s="225">
        <f t="shared" si="415"/>
        <v>15</v>
      </c>
      <c r="R315" s="225"/>
      <c r="S315" s="180">
        <f t="shared" si="416"/>
        <v>28.932872773796845</v>
      </c>
      <c r="T315" s="180">
        <f t="shared" si="444"/>
        <v>15</v>
      </c>
      <c r="U315" s="225">
        <f t="shared" si="418"/>
        <v>1.0616803278688525</v>
      </c>
      <c r="V315" s="225">
        <f t="shared" si="445"/>
        <v>1.7694672131147542</v>
      </c>
      <c r="W315" s="225">
        <f t="shared" si="420"/>
        <v>2.7847352862133836</v>
      </c>
      <c r="X315" s="205">
        <f t="shared" si="421"/>
        <v>350</v>
      </c>
      <c r="Y315" s="456">
        <f t="shared" si="407"/>
        <v>219.57741232356832</v>
      </c>
      <c r="AA315" s="225">
        <f t="shared" si="422"/>
        <v>0.66606005459508633</v>
      </c>
      <c r="AB315" s="181">
        <f t="shared" si="446"/>
        <v>1.7470427661510461</v>
      </c>
      <c r="AC315" s="181">
        <f t="shared" si="447"/>
        <v>0.20363619503544039</v>
      </c>
      <c r="AD315" s="181"/>
      <c r="AE315" s="181">
        <f t="shared" si="425"/>
        <v>0.76065573770491812</v>
      </c>
      <c r="AF315" s="565">
        <f t="shared" si="448"/>
        <v>2692.7764565992861</v>
      </c>
      <c r="AG315" s="548">
        <f t="shared" si="427"/>
        <v>3.8603278688524589E-2</v>
      </c>
      <c r="AI315" s="181">
        <f t="shared" si="428"/>
        <v>0.80438530213182924</v>
      </c>
      <c r="AJ315" s="181">
        <f t="shared" si="449"/>
        <v>1.0616803278688525</v>
      </c>
      <c r="AK315" s="181">
        <f t="shared" si="450"/>
        <v>1.7716150576806313</v>
      </c>
      <c r="AM315" s="565">
        <f t="shared" si="431"/>
        <v>297</v>
      </c>
      <c r="AN315" s="474">
        <f t="shared" si="432"/>
        <v>219.57741232356832</v>
      </c>
      <c r="AP315">
        <f t="shared" si="433"/>
        <v>297</v>
      </c>
      <c r="AQ315">
        <f t="shared" si="434"/>
        <v>219.57741232356832</v>
      </c>
      <c r="AS315" s="6">
        <f t="shared" si="406"/>
        <v>4.554202499328138</v>
      </c>
      <c r="AT315" s="6">
        <f t="shared" si="435"/>
        <v>1.7694672131147542</v>
      </c>
      <c r="AU315" s="6">
        <f t="shared" si="439"/>
        <v>2.7847352862133841</v>
      </c>
      <c r="AV315" s="6"/>
      <c r="AW315" s="181">
        <f t="shared" si="440"/>
        <v>0.38853503184713373</v>
      </c>
      <c r="AX315" s="181"/>
      <c r="CB315" s="583">
        <f t="shared" si="436"/>
        <v>-50</v>
      </c>
      <c r="CC315">
        <f t="shared" si="437"/>
        <v>-50</v>
      </c>
    </row>
    <row r="316" spans="5:81" x14ac:dyDescent="0.2">
      <c r="E316" s="178">
        <v>100</v>
      </c>
      <c r="F316" s="225">
        <f t="shared" si="451"/>
        <v>0.3</v>
      </c>
      <c r="G316" s="225"/>
      <c r="H316" s="225">
        <f t="shared" si="441"/>
        <v>4.5</v>
      </c>
      <c r="I316" s="561">
        <f t="shared" si="409"/>
        <v>24</v>
      </c>
      <c r="J316" s="456">
        <f t="shared" si="410"/>
        <v>15.25</v>
      </c>
      <c r="K316" s="456">
        <f t="shared" si="411"/>
        <v>39.25</v>
      </c>
      <c r="L316" s="456"/>
      <c r="M316" s="225">
        <f t="shared" si="412"/>
        <v>0.38853503184713378</v>
      </c>
      <c r="N316" s="180">
        <f t="shared" si="442"/>
        <v>6.0844585987261137</v>
      </c>
      <c r="O316" s="180">
        <f t="shared" si="405"/>
        <v>4.5</v>
      </c>
      <c r="P316" s="225">
        <f t="shared" si="443"/>
        <v>0.40563057324840757</v>
      </c>
      <c r="Q316" s="225">
        <f t="shared" si="415"/>
        <v>15</v>
      </c>
      <c r="R316" s="225"/>
      <c r="S316" s="180">
        <f t="shared" si="416"/>
        <v>28.409355718216176</v>
      </c>
      <c r="T316" s="180">
        <f t="shared" si="444"/>
        <v>15</v>
      </c>
      <c r="U316" s="225">
        <f t="shared" si="418"/>
        <v>1.0724043715846994</v>
      </c>
      <c r="V316" s="225">
        <f t="shared" si="445"/>
        <v>1.7873406193078327</v>
      </c>
      <c r="W316" s="225">
        <f t="shared" si="420"/>
        <v>2.8128639254680641</v>
      </c>
      <c r="X316" s="205">
        <f t="shared" si="421"/>
        <v>350</v>
      </c>
      <c r="Y316" s="456">
        <f t="shared" si="407"/>
        <v>217.38163820033265</v>
      </c>
      <c r="AA316" s="225">
        <f t="shared" si="422"/>
        <v>0.66606005459508633</v>
      </c>
      <c r="AB316" s="181">
        <f t="shared" si="446"/>
        <v>1.7470427661510461</v>
      </c>
      <c r="AC316" s="181">
        <f t="shared" si="447"/>
        <v>0.20363619503544039</v>
      </c>
      <c r="AD316" s="181"/>
      <c r="AE316" s="181">
        <f t="shared" si="425"/>
        <v>0.76065573770491812</v>
      </c>
      <c r="AF316" s="565">
        <f t="shared" si="448"/>
        <v>2719.9762187871579</v>
      </c>
      <c r="AG316" s="548">
        <f t="shared" si="427"/>
        <v>3.8603278688524589E-2</v>
      </c>
      <c r="AI316" s="181">
        <f t="shared" si="428"/>
        <v>0.80843764668119489</v>
      </c>
      <c r="AJ316" s="181">
        <f t="shared" si="449"/>
        <v>1.0724043715846994</v>
      </c>
      <c r="AK316" s="181">
        <f t="shared" si="450"/>
        <v>1.7795587937664439</v>
      </c>
      <c r="AM316" s="565">
        <f t="shared" si="431"/>
        <v>300</v>
      </c>
      <c r="AN316" s="474">
        <f t="shared" si="432"/>
        <v>217.38163820033265</v>
      </c>
      <c r="AP316">
        <f t="shared" si="433"/>
        <v>300</v>
      </c>
      <c r="AQ316">
        <f t="shared" si="434"/>
        <v>217.38163820033265</v>
      </c>
      <c r="AS316" s="6">
        <f t="shared" si="406"/>
        <v>4.600204544775897</v>
      </c>
      <c r="AT316" s="6">
        <f t="shared" si="435"/>
        <v>1.7873406193078327</v>
      </c>
      <c r="AU316" s="6">
        <f t="shared" si="439"/>
        <v>2.8128639254680641</v>
      </c>
      <c r="AV316" s="6"/>
      <c r="AW316" s="181">
        <f t="shared" si="440"/>
        <v>0.38853503184713378</v>
      </c>
      <c r="AX316" s="181"/>
      <c r="CB316" s="583">
        <f t="shared" si="436"/>
        <v>-50</v>
      </c>
      <c r="CC316">
        <f t="shared" si="437"/>
        <v>-50</v>
      </c>
    </row>
    <row r="317" spans="5:81" x14ac:dyDescent="0.2">
      <c r="E317" s="178"/>
      <c r="F317" s="225"/>
      <c r="G317" s="225"/>
      <c r="CB317" s="583"/>
    </row>
    <row r="318" spans="5:81" x14ac:dyDescent="0.2">
      <c r="CB318" s="583"/>
    </row>
    <row r="319" spans="5:81" x14ac:dyDescent="0.2">
      <c r="CB319" s="583"/>
    </row>
    <row r="320" spans="5:81" x14ac:dyDescent="0.2">
      <c r="CB320" s="583"/>
    </row>
    <row r="321" spans="80:80" x14ac:dyDescent="0.2">
      <c r="CB321" s="583"/>
    </row>
  </sheetData>
  <mergeCells count="1">
    <mergeCell ref="M3:AA3"/>
  </mergeCells>
  <phoneticPr fontId="82" type="noConversion"/>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7030A0"/>
  </sheetPr>
  <dimension ref="B1:CC317"/>
  <sheetViews>
    <sheetView topLeftCell="A73" zoomScaleNormal="100" workbookViewId="0">
      <selection activeCell="Q110" sqref="Q110"/>
    </sheetView>
  </sheetViews>
  <sheetFormatPr defaultRowHeight="12.75" x14ac:dyDescent="0.2"/>
  <cols>
    <col min="1" max="1" width="2.85546875" customWidth="1"/>
    <col min="2" max="2" width="3.5703125" customWidth="1"/>
    <col min="3" max="3" width="2.85546875" customWidth="1"/>
    <col min="4" max="4" width="3.7109375" customWidth="1"/>
    <col min="5" max="5" width="6.140625" customWidth="1"/>
    <col min="6" max="7" width="7.7109375" customWidth="1"/>
    <col min="8" max="9" width="7.85546875" customWidth="1"/>
    <col min="10" max="10" width="6.28515625" customWidth="1"/>
    <col min="11" max="11" width="9.5703125" customWidth="1"/>
    <col min="12" max="12" width="9.28515625" customWidth="1"/>
    <col min="13" max="13" width="1.85546875" customWidth="1"/>
    <col min="14" max="14" width="8.42578125" customWidth="1"/>
    <col min="15" max="16" width="9.5703125" customWidth="1"/>
    <col min="17" max="18" width="8.85546875" customWidth="1"/>
    <col min="19" max="19" width="8.5703125" customWidth="1"/>
    <col min="20" max="20" width="7.5703125" customWidth="1"/>
    <col min="21" max="21" width="9" customWidth="1"/>
    <col min="22" max="22" width="8.85546875" customWidth="1"/>
    <col min="23" max="23" width="10" customWidth="1"/>
    <col min="24" max="24" width="9.5703125" customWidth="1"/>
    <col min="25" max="25" width="1.85546875" customWidth="1"/>
    <col min="26" max="26" width="9.85546875" customWidth="1"/>
    <col min="27" max="27" width="10.42578125" customWidth="1"/>
    <col min="28" max="28" width="10.140625" customWidth="1"/>
    <col min="29" max="29" width="2" customWidth="1"/>
    <col min="30" max="30" width="9.140625" customWidth="1"/>
    <col min="31" max="31" width="9.42578125" customWidth="1"/>
    <col min="32" max="32" width="10.42578125" customWidth="1"/>
    <col min="33" max="33" width="2.140625" customWidth="1"/>
    <col min="35" max="35" width="8" customWidth="1"/>
    <col min="37" max="37" width="2.28515625" customWidth="1"/>
    <col min="38" max="38" width="6.5703125" customWidth="1"/>
    <col min="39" max="39" width="7.5703125" customWidth="1"/>
    <col min="40" max="40" width="2" customWidth="1"/>
    <col min="41" max="41" width="6.42578125" customWidth="1"/>
    <col min="42" max="42" width="7.5703125" customWidth="1"/>
    <col min="43" max="43" width="2.140625" customWidth="1"/>
    <col min="44" max="46" width="7" customWidth="1"/>
    <col min="47" max="47" width="8.42578125" customWidth="1"/>
    <col min="48" max="48" width="2.140625" customWidth="1"/>
    <col min="49" max="50" width="9.42578125" customWidth="1"/>
    <col min="51" max="51" width="9.85546875" customWidth="1"/>
    <col min="52" max="52" width="2" customWidth="1"/>
    <col min="56" max="56" width="2.140625" customWidth="1"/>
    <col min="57" max="57" width="9" customWidth="1"/>
    <col min="58" max="59" width="8.140625" customWidth="1"/>
    <col min="60" max="60" width="8.7109375" customWidth="1"/>
    <col min="61" max="62" width="7.5703125" customWidth="1"/>
    <col min="63" max="64" width="10.28515625" customWidth="1"/>
    <col min="65" max="65" width="9.42578125" customWidth="1"/>
    <col min="66" max="66" width="9.5703125" customWidth="1"/>
    <col min="67" max="67" width="10" customWidth="1"/>
    <col min="68" max="68" width="8.7109375" customWidth="1"/>
    <col min="71" max="71" width="9.85546875" customWidth="1"/>
    <col min="72" max="72" width="12.140625" customWidth="1"/>
    <col min="73" max="73" width="9.140625" customWidth="1"/>
    <col min="75" max="75" width="7.7109375" customWidth="1"/>
    <col min="76" max="76" width="10.42578125" customWidth="1"/>
    <col min="77" max="77" width="12.42578125" bestFit="1" customWidth="1"/>
    <col min="78" max="78" width="6.5703125" customWidth="1"/>
    <col min="79" max="79" width="5" customWidth="1"/>
    <col min="80" max="80" width="9.5703125" customWidth="1"/>
  </cols>
  <sheetData>
    <row r="1" spans="2:81" x14ac:dyDescent="0.2">
      <c r="B1" s="458" t="s">
        <v>532</v>
      </c>
    </row>
    <row r="2" spans="2:81" ht="13.5" thickBot="1" x14ac:dyDescent="0.25">
      <c r="AW2">
        <f>Vout_ripple</f>
        <v>150</v>
      </c>
    </row>
    <row r="3" spans="2:81" x14ac:dyDescent="0.2">
      <c r="E3" s="228" t="s">
        <v>434</v>
      </c>
      <c r="F3" s="560"/>
      <c r="G3" s="560"/>
      <c r="H3" s="560"/>
      <c r="I3" s="560"/>
      <c r="J3" s="229"/>
      <c r="K3" s="230"/>
      <c r="L3" s="544"/>
      <c r="M3" s="544"/>
      <c r="N3" s="687" t="s">
        <v>190</v>
      </c>
      <c r="O3" s="688"/>
      <c r="P3" s="689"/>
      <c r="Q3" s="687"/>
      <c r="R3" s="689"/>
      <c r="S3" s="687"/>
      <c r="T3" s="687"/>
      <c r="U3" s="688"/>
      <c r="V3" s="688"/>
      <c r="W3" s="687"/>
      <c r="X3" s="688"/>
      <c r="Y3" s="687"/>
      <c r="Z3" s="690"/>
      <c r="AA3" s="553"/>
      <c r="AB3" s="553"/>
      <c r="AC3" s="553"/>
      <c r="AD3" s="553"/>
      <c r="AE3" s="553"/>
      <c r="AF3" s="553"/>
      <c r="AG3" s="553"/>
      <c r="AH3" s="553"/>
      <c r="AI3" s="553"/>
      <c r="AJ3" s="553"/>
      <c r="AK3" s="553"/>
      <c r="AL3" s="553"/>
      <c r="AM3" s="553"/>
      <c r="AN3" s="553"/>
      <c r="AO3" s="553"/>
      <c r="AP3" s="553"/>
      <c r="AQ3" s="553"/>
      <c r="AR3" s="553" t="s">
        <v>473</v>
      </c>
      <c r="AS3" s="553"/>
      <c r="AT3" s="553"/>
      <c r="AU3" s="553"/>
      <c r="AV3" s="553"/>
      <c r="AW3" s="553" t="s">
        <v>483</v>
      </c>
      <c r="AX3" s="553" t="s">
        <v>483</v>
      </c>
      <c r="AY3" s="553"/>
      <c r="AZ3" s="553"/>
      <c r="BA3" s="579" t="s">
        <v>484</v>
      </c>
      <c r="BB3" s="553"/>
      <c r="BC3" s="553"/>
      <c r="BD3" s="553"/>
      <c r="BE3" s="579" t="s">
        <v>508</v>
      </c>
      <c r="BF3" s="553"/>
      <c r="BG3" s="553"/>
      <c r="BH3" s="553"/>
      <c r="BI3" s="553"/>
      <c r="BJ3" s="553"/>
      <c r="BK3" s="579" t="s">
        <v>504</v>
      </c>
      <c r="BL3" s="553"/>
      <c r="BM3" s="553"/>
      <c r="BN3" s="553"/>
      <c r="BO3" s="553"/>
      <c r="BP3" s="580" t="s">
        <v>505</v>
      </c>
      <c r="BQ3" s="553"/>
      <c r="BR3" s="553"/>
      <c r="BS3" s="553"/>
      <c r="BT3" s="553"/>
      <c r="BU3" s="553"/>
      <c r="BV3" s="579"/>
      <c r="BW3" s="553"/>
      <c r="BX3" s="553"/>
      <c r="BY3" s="553"/>
      <c r="BZ3" s="553"/>
    </row>
    <row r="4" spans="2:81" ht="45" customHeight="1" thickBot="1" x14ac:dyDescent="0.25">
      <c r="E4" s="249" t="s">
        <v>25</v>
      </c>
      <c r="F4" s="627" t="s">
        <v>605</v>
      </c>
      <c r="G4" s="457" t="s">
        <v>604</v>
      </c>
      <c r="H4" s="628" t="s">
        <v>606</v>
      </c>
      <c r="I4" s="629" t="s">
        <v>607</v>
      </c>
      <c r="J4" s="250" t="s">
        <v>425</v>
      </c>
      <c r="K4" s="251" t="s">
        <v>611</v>
      </c>
      <c r="L4" s="630" t="s">
        <v>426</v>
      </c>
      <c r="M4" s="631"/>
      <c r="N4" s="252" t="s">
        <v>48</v>
      </c>
      <c r="O4" s="631" t="s">
        <v>615</v>
      </c>
      <c r="P4" s="631" t="s">
        <v>631</v>
      </c>
      <c r="Q4" s="631" t="s">
        <v>608</v>
      </c>
      <c r="R4" s="631" t="s">
        <v>609</v>
      </c>
      <c r="S4" s="631" t="s">
        <v>610</v>
      </c>
      <c r="T4" s="631" t="s">
        <v>427</v>
      </c>
      <c r="U4" s="631" t="s">
        <v>479</v>
      </c>
      <c r="V4" s="631" t="s">
        <v>478</v>
      </c>
      <c r="W4" s="632" t="s">
        <v>433</v>
      </c>
      <c r="X4" s="633" t="s">
        <v>438</v>
      </c>
      <c r="Z4" s="253" t="s">
        <v>430</v>
      </c>
      <c r="AA4" s="253" t="s">
        <v>477</v>
      </c>
      <c r="AB4" s="253" t="s">
        <v>612</v>
      </c>
      <c r="AC4" s="564"/>
      <c r="AD4" s="253" t="s">
        <v>476</v>
      </c>
      <c r="AE4" s="632" t="s">
        <v>439</v>
      </c>
      <c r="AF4" s="253" t="s">
        <v>613</v>
      </c>
      <c r="AG4" s="564"/>
      <c r="AH4" s="253" t="s">
        <v>442</v>
      </c>
      <c r="AI4" s="568" t="s">
        <v>443</v>
      </c>
      <c r="AJ4" s="568" t="s">
        <v>444</v>
      </c>
      <c r="AL4" s="563" t="s">
        <v>276</v>
      </c>
      <c r="AM4" s="563" t="s">
        <v>445</v>
      </c>
      <c r="AO4" s="253" t="s">
        <v>276</v>
      </c>
      <c r="AP4" s="253" t="s">
        <v>445</v>
      </c>
      <c r="AQ4" s="569"/>
      <c r="AR4" s="253" t="s">
        <v>480</v>
      </c>
      <c r="AS4" s="253" t="s">
        <v>474</v>
      </c>
      <c r="AT4" s="253" t="s">
        <v>475</v>
      </c>
      <c r="AU4" s="253" t="s">
        <v>48</v>
      </c>
      <c r="AV4" s="564"/>
      <c r="AW4" s="253" t="s">
        <v>616</v>
      </c>
      <c r="AX4" s="253" t="s">
        <v>617</v>
      </c>
      <c r="AY4" s="253" t="s">
        <v>531</v>
      </c>
      <c r="AZ4" s="564"/>
      <c r="BA4" s="578" t="s">
        <v>469</v>
      </c>
      <c r="BB4" s="253" t="s">
        <v>624</v>
      </c>
      <c r="BC4" s="253" t="s">
        <v>623</v>
      </c>
      <c r="BD4" s="564"/>
      <c r="BE4" s="578" t="s">
        <v>487</v>
      </c>
      <c r="BF4" s="253" t="s">
        <v>488</v>
      </c>
      <c r="BG4" s="253" t="s">
        <v>486</v>
      </c>
      <c r="BH4" s="253" t="s">
        <v>482</v>
      </c>
      <c r="BI4" s="253" t="s">
        <v>491</v>
      </c>
      <c r="BJ4" s="253" t="s">
        <v>506</v>
      </c>
      <c r="BK4" s="578" t="s">
        <v>626</v>
      </c>
      <c r="BL4" s="253" t="s">
        <v>625</v>
      </c>
      <c r="BM4" s="253" t="s">
        <v>490</v>
      </c>
      <c r="BN4" s="253" t="s">
        <v>498</v>
      </c>
      <c r="BO4" s="253" t="s">
        <v>502</v>
      </c>
      <c r="BP4" s="578" t="s">
        <v>471</v>
      </c>
      <c r="BQ4" s="253" t="s">
        <v>628</v>
      </c>
      <c r="BR4" s="253" t="s">
        <v>627</v>
      </c>
      <c r="BS4" s="253" t="s">
        <v>481</v>
      </c>
      <c r="BT4" s="253" t="s">
        <v>499</v>
      </c>
      <c r="BU4" s="253" t="s">
        <v>501</v>
      </c>
      <c r="BV4" s="578" t="s">
        <v>497</v>
      </c>
      <c r="BW4" s="253" t="s">
        <v>224</v>
      </c>
      <c r="BX4" s="253" t="s">
        <v>47</v>
      </c>
      <c r="BY4" s="253" t="s">
        <v>500</v>
      </c>
      <c r="BZ4" s="253" t="s">
        <v>629</v>
      </c>
      <c r="CB4" s="591" t="s">
        <v>513</v>
      </c>
    </row>
    <row r="5" spans="2:81" x14ac:dyDescent="0.2">
      <c r="E5" s="178">
        <v>0.1</v>
      </c>
      <c r="F5" s="225">
        <v>1.0000000000000001E-9</v>
      </c>
      <c r="G5" s="225">
        <v>1.0000000000000001E-9</v>
      </c>
      <c r="H5" s="225">
        <f t="shared" ref="H5:H36" si="0">F5*Vout</f>
        <v>1.5000000000000002E-8</v>
      </c>
      <c r="I5" s="225">
        <f>G5*Vout2</f>
        <v>8.0000000000000005E-9</v>
      </c>
      <c r="J5" s="561">
        <f t="shared" ref="J5:J68" si="1">Vin</f>
        <v>12</v>
      </c>
      <c r="K5" s="456">
        <f t="shared" ref="K5:K68" si="2">(S5+Vfwd1)*Nps</f>
        <v>15.25</v>
      </c>
      <c r="L5" s="456">
        <f t="shared" ref="L5:L68" si="3">(Vout+Vfwd1)*Nps+J5</f>
        <v>27.25</v>
      </c>
      <c r="M5" s="456"/>
      <c r="N5" s="225">
        <f t="shared" ref="N5:N68" si="4">(Vout+Vfwd1)*Nps/((Vout+Vfwd1)*Nps+J5)</f>
        <v>0.55963302752293576</v>
      </c>
      <c r="O5" s="180">
        <f>N5*J5*Isw_max*0.5*Efficiency*(Pout/Pout_total)</f>
        <v>4.3819266055045869</v>
      </c>
      <c r="P5" s="180">
        <f t="shared" ref="P5:P36" si="5">N5*J5*Isw_max*0.5*Efficiency*(Pout2/Pout_total)</f>
        <v>2.3370275229357795</v>
      </c>
      <c r="Q5" s="225">
        <f t="shared" ref="Q5:Q68" si="6">O5/Vout</f>
        <v>0.29212844036697244</v>
      </c>
      <c r="R5" s="225">
        <f t="shared" ref="R5:R36" si="7">O5/Vout2</f>
        <v>0.54774082568807336</v>
      </c>
      <c r="S5" s="456">
        <f t="shared" ref="S5:S36" si="8">MIN(Vout,O5/F5)</f>
        <v>15</v>
      </c>
      <c r="T5" s="225">
        <f t="shared" ref="T5:T36" si="9">MIN(2*(Vout*F5+Vout2*G5)/(Efficiency*J5*N5), Isw_max)</f>
        <v>7.6108075288403148E-9</v>
      </c>
      <c r="U5" s="225">
        <f t="shared" ref="U5:U68" si="10">L*T5/J5*1000000</f>
        <v>2.5369358429467719E-8</v>
      </c>
      <c r="V5" s="225">
        <f t="shared" ref="V5:V68" si="11">L*T5/K5*1000000</f>
        <v>1.9962773846138535E-8</v>
      </c>
      <c r="W5" s="205">
        <f t="shared" ref="W5:W68" si="12">IF(1/((350000*L)*(1/J5+1/K5))&gt;Isw_min, 350, 0.001/((Isw_min*L)*(1/J5+1/K5)))</f>
        <v>350</v>
      </c>
      <c r="X5" s="456">
        <f>MIN(1/(U5+V5)*1000, 350)</f>
        <v>350</v>
      </c>
      <c r="Z5" s="225">
        <f t="shared" ref="Z5:Z68" si="13">1/((W5*1000*L)*(1/J5+1/K5))</f>
        <v>0.47968545216251629</v>
      </c>
      <c r="AA5" s="181">
        <f t="shared" ref="AA5:AA68" si="14">L*Z5/K5*1000000</f>
        <v>1.258191349934469</v>
      </c>
      <c r="AB5" s="181">
        <f t="shared" ref="AB5:AB36" si="15">0.5*AA5*Z5*Nps*W5/1000*(Pout/Pout_total)</f>
        <v>0.10561881515504945</v>
      </c>
      <c r="AC5" s="181"/>
      <c r="AD5" s="181">
        <f t="shared" ref="AD5:AD68" si="16">L*Isw_min/K5*1000000</f>
        <v>0.76065573770491812</v>
      </c>
      <c r="AE5" s="565">
        <f t="shared" ref="AE5:AE36" si="17">MAX(10, F5/(0.5*AD5/1000000*Isw_min*Nps)/1000*Pout_total/Pout)</f>
        <v>10</v>
      </c>
      <c r="AF5" s="548">
        <f t="shared" ref="AF5:AF36" si="18">0.5*AD5/1000000*Isw_min*Nps*W5*1000*(Pout/Pout_total)</f>
        <v>3.8603278688524589E-2</v>
      </c>
      <c r="AH5" s="181">
        <f t="shared" ref="AH5:AH36" si="19">SQRT((H5+I5)/(0.5*L*Fsw_DCM))</f>
        <v>5.7321150422111083E-5</v>
      </c>
      <c r="AI5" s="181">
        <f t="shared" ref="AI5:AI36" si="20">MAX(IF(F5&gt;AB5,T5,AH5),Isw_min)</f>
        <v>0.28999999999999998</v>
      </c>
      <c r="AJ5" s="181">
        <f t="shared" ref="AJ5:AJ36" si="21">IF(F5&gt;AF5, (AI5-Isw_min)/1.08*0.8+1.2, AE5*0.2/350+1)</f>
        <v>1.0057142857142858</v>
      </c>
      <c r="AL5" s="565">
        <f t="shared" ref="AL5:AL36" si="22">F5*1000</f>
        <v>1.0000000000000002E-6</v>
      </c>
      <c r="AM5" s="474">
        <f t="shared" ref="AM5:AM36" si="23">IF(F5&gt;AF5, X5, AE5)</f>
        <v>10</v>
      </c>
      <c r="AO5">
        <f>IF(H5&gt;O5, "",AL5)</f>
        <v>1.0000000000000002E-6</v>
      </c>
      <c r="AP5" s="474">
        <f t="shared" ref="AP5:AP68" si="24">IF(H5&gt;O5, "",AM5)</f>
        <v>10</v>
      </c>
      <c r="AQ5" s="474"/>
      <c r="AR5" s="6">
        <f>1/AM5*1000</f>
        <v>100</v>
      </c>
      <c r="AS5" s="6">
        <f t="shared" ref="AS5:AS68" si="25">L*AI5/J5*1000000</f>
        <v>0.96666666666666679</v>
      </c>
      <c r="AT5" s="6">
        <f>AR5-AS5</f>
        <v>99.033333333333331</v>
      </c>
      <c r="AU5" s="181">
        <f>AS5/AR5</f>
        <v>9.6666666666666672E-3</v>
      </c>
      <c r="AW5" s="6">
        <f t="shared" ref="AW5:AW36" si="26">F5*AS5/Vout_ripple*1000</f>
        <v>6.4444444444444456E-9</v>
      </c>
      <c r="AX5" s="6">
        <f t="shared" ref="AX5:AX36" si="27">G5*AS5/Vout_ripple2*1000</f>
        <v>1.2083333333333336E-8</v>
      </c>
      <c r="AY5" s="6">
        <f t="shared" ref="AY5:AY68" si="28">H5/Efficiency/J5*AT5/Vinripple1</f>
        <v>2.2924382716049381E-7</v>
      </c>
      <c r="AZ5" s="6"/>
      <c r="BA5" s="181">
        <f>AI5*SQRT(AU5/3)</f>
        <v>1.6461740153728855E-2</v>
      </c>
      <c r="BB5" s="181">
        <f t="shared" ref="BB5:BB36" si="29">AI5*Npri_sec1*SQRT((1-AU5)/3)*(Pout/Pout_total)</f>
        <v>0.16662036023380947</v>
      </c>
      <c r="BC5" s="181">
        <f t="shared" ref="BC5:BC36" si="30">AI5*Npri_sec2*SQRT((1-AU5)/3)*(Pout2/Pout_total)</f>
        <v>0.16426411271535155</v>
      </c>
      <c r="BD5" s="181"/>
      <c r="BE5" s="548">
        <f t="shared" ref="BE5:BE68" si="31">Rdson*BA5^2</f>
        <v>9.4846111111111122E-5</v>
      </c>
      <c r="BF5" s="548">
        <f t="shared" ref="BF5:BF68" si="32">0.5*L5*AI5*AM5*1000*Trise</f>
        <v>7.9025000000000005E-4</v>
      </c>
      <c r="BG5" s="548">
        <f t="shared" ref="BG5:BG68" si="33">Qg*Vdd*AM5*1000</f>
        <v>1.25E-4</v>
      </c>
      <c r="BH5" s="548">
        <f t="shared" ref="BH5:BH68" si="34">0.5*(Coss+Csw)*L5^2*AM5*1000</f>
        <v>4.2697343750000002E-4</v>
      </c>
      <c r="BI5">
        <f t="shared" ref="BI5:BI68" si="35">J5*IQ</f>
        <v>3.48E-3</v>
      </c>
      <c r="BJ5" s="474">
        <f>SUM(BE5:BI5)*1000</f>
        <v>4.9170695486111109</v>
      </c>
      <c r="BK5" s="181">
        <f t="shared" ref="BK5:BK36" si="36">Vfwd2*F5</f>
        <v>3.4999999999999998E-10</v>
      </c>
      <c r="BL5" s="181">
        <f t="shared" ref="BL5:BL36" si="37">Vfwd2*G5</f>
        <v>3.4999999999999998E-10</v>
      </c>
      <c r="BM5" s="548"/>
      <c r="BO5" s="474">
        <f>SUM(BK5:BN5)*1000</f>
        <v>6.9999999999999997E-7</v>
      </c>
      <c r="BP5" s="548">
        <f t="shared" ref="BP5:BP68" si="38">Rdcr_pri*BA5^2</f>
        <v>0</v>
      </c>
      <c r="BQ5" s="548">
        <f>Rdcr_sec*BB5^2</f>
        <v>0</v>
      </c>
      <c r="BR5" s="548">
        <f t="shared" ref="BR5:BR36" si="39">Rdcr_sec2*BC5^2</f>
        <v>2.4284428853545543E-3</v>
      </c>
      <c r="BS5" s="548">
        <f t="shared" ref="BS5:BS68" si="40">AI5^2.5*AM5^2.5*k_core</f>
        <v>7.1608569668720578E-7</v>
      </c>
      <c r="BT5" s="658">
        <f t="shared" ref="BT5:BT36" si="41">0.5*Lleak*0.000000001*AI5^2*AM5*1000</f>
        <v>8.8305000000000002E-4</v>
      </c>
      <c r="BU5" s="474">
        <f>SUM(BP5:BT5)*1000</f>
        <v>3.3122089710512417</v>
      </c>
      <c r="BV5" s="181">
        <f>SUM(BE5:BI5,BK5:BN5,BP5:BT5)</f>
        <v>8.2292792196623533E-3</v>
      </c>
      <c r="BW5" s="6">
        <f>MIN(H5+I5,O5+P5)</f>
        <v>2.3000000000000001E-8</v>
      </c>
      <c r="BX5" s="181">
        <f>BW5/(BW5+BV5)</f>
        <v>2.794890670687227E-6</v>
      </c>
      <c r="BY5" s="6">
        <f>BX5*100</f>
        <v>2.7948906706872271E-4</v>
      </c>
      <c r="BZ5">
        <v>0</v>
      </c>
      <c r="CB5" s="583">
        <f t="shared" ref="CB5:CB36" si="42">IF(ABS(F5-Ioutmax_Vinnom)&lt;Iout/200, AM5, -50)</f>
        <v>-50</v>
      </c>
      <c r="CC5">
        <f t="shared" ref="CC5:CC36" si="43">IF(ABS(F5-Ioutmax_Vinnom)&lt;Iout/200, (O5+P5)*BX5, -50)</f>
        <v>-50</v>
      </c>
    </row>
    <row r="6" spans="2:81" x14ac:dyDescent="0.2">
      <c r="E6" s="178">
        <v>1</v>
      </c>
      <c r="F6" s="225">
        <f>IF(PLOT_TYPE=1, E6/100*Iout, min_I*EXP(O6*rr/100))</f>
        <v>3.0000000000000001E-3</v>
      </c>
      <c r="G6" s="225">
        <f t="shared" ref="G6:G37" si="44">IF(PLOT_TYPE=1, E6/100*Iout2, min_I*EXP(Q6*rr/100))</f>
        <v>3.0000000000000001E-3</v>
      </c>
      <c r="H6" s="225">
        <f t="shared" si="0"/>
        <v>4.4999999999999998E-2</v>
      </c>
      <c r="I6" s="225">
        <f>G6*Vout2</f>
        <v>2.4E-2</v>
      </c>
      <c r="J6" s="561">
        <f t="shared" si="1"/>
        <v>12</v>
      </c>
      <c r="K6" s="456">
        <f t="shared" si="2"/>
        <v>15.25</v>
      </c>
      <c r="L6" s="456">
        <f t="shared" si="3"/>
        <v>27.25</v>
      </c>
      <c r="M6" s="456"/>
      <c r="N6" s="225">
        <f t="shared" si="4"/>
        <v>0.55963302752293576</v>
      </c>
      <c r="O6" s="180">
        <f t="shared" ref="O6:O37" si="45">N6*J6*Isw_max*0.5*Efficiency*Pout/(Pout+Pout2)</f>
        <v>2.8577782209812521</v>
      </c>
      <c r="P6" s="180">
        <f t="shared" si="5"/>
        <v>2.3370275229357795</v>
      </c>
      <c r="Q6" s="225">
        <f t="shared" si="6"/>
        <v>0.19051854806541682</v>
      </c>
      <c r="R6" s="225">
        <f t="shared" si="7"/>
        <v>0.35722227762265651</v>
      </c>
      <c r="S6" s="456">
        <f t="shared" si="8"/>
        <v>15</v>
      </c>
      <c r="T6" s="225">
        <f t="shared" si="9"/>
        <v>2.2832422586520948E-2</v>
      </c>
      <c r="U6" s="225">
        <f t="shared" si="10"/>
        <v>7.6108075288403174E-2</v>
      </c>
      <c r="V6" s="225">
        <f t="shared" si="11"/>
        <v>5.9888321538415605E-2</v>
      </c>
      <c r="W6" s="205">
        <f t="shared" si="12"/>
        <v>350</v>
      </c>
      <c r="X6" s="456">
        <f t="shared" ref="X6:X69" si="46">MIN(1/(U6+V6)*1000, 350)</f>
        <v>350</v>
      </c>
      <c r="Z6" s="225">
        <f t="shared" si="13"/>
        <v>0.47968545216251629</v>
      </c>
      <c r="AA6" s="181">
        <f t="shared" si="14"/>
        <v>1.258191349934469</v>
      </c>
      <c r="AB6" s="181">
        <f t="shared" si="15"/>
        <v>0.10561881515504945</v>
      </c>
      <c r="AC6" s="181"/>
      <c r="AD6" s="181">
        <f t="shared" si="16"/>
        <v>0.76065573770491812</v>
      </c>
      <c r="AE6" s="565">
        <f t="shared" si="17"/>
        <v>27.199762187871581</v>
      </c>
      <c r="AF6" s="548">
        <f t="shared" si="18"/>
        <v>3.8603278688524589E-2</v>
      </c>
      <c r="AH6" s="181">
        <f t="shared" si="19"/>
        <v>9.9283144879394589E-2</v>
      </c>
      <c r="AI6" s="181">
        <f t="shared" si="20"/>
        <v>0.28999999999999998</v>
      </c>
      <c r="AJ6" s="181">
        <f t="shared" si="21"/>
        <v>1.0155427212502124</v>
      </c>
      <c r="AL6" s="565">
        <f t="shared" si="22"/>
        <v>3</v>
      </c>
      <c r="AM6" s="474">
        <f t="shared" si="23"/>
        <v>27.199762187871581</v>
      </c>
      <c r="AO6">
        <f t="shared" ref="AO6:AO69" si="47">IF(H6&gt;O6, "",AL6)</f>
        <v>3</v>
      </c>
      <c r="AP6" s="474">
        <f t="shared" si="24"/>
        <v>27.199762187871581</v>
      </c>
      <c r="AQ6" s="474"/>
      <c r="AR6" s="6">
        <f t="shared" ref="AR6:AR69" si="48">1/AM6*1000</f>
        <v>36.765027322404372</v>
      </c>
      <c r="AS6" s="6">
        <f t="shared" si="25"/>
        <v>0.96666666666666679</v>
      </c>
      <c r="AT6" s="6">
        <f t="shared" ref="AT6:AT69" si="49">AR6-AS6</f>
        <v>35.798360655737703</v>
      </c>
      <c r="AU6" s="181">
        <f t="shared" ref="AU6:AU69" si="50">AS6/AR6</f>
        <v>2.6293103448275866E-2</v>
      </c>
      <c r="AW6" s="6">
        <f t="shared" si="26"/>
        <v>1.9333333333333334E-2</v>
      </c>
      <c r="AX6" s="6">
        <f t="shared" si="27"/>
        <v>3.6249999999999998E-2</v>
      </c>
      <c r="AY6" s="6">
        <f t="shared" si="28"/>
        <v>0.24859972677595624</v>
      </c>
      <c r="AZ6" s="6"/>
      <c r="BA6" s="181">
        <f t="shared" ref="BA6:BA69" si="51">AI6*SQRT(AU6/3)</f>
        <v>2.714927868900633E-2</v>
      </c>
      <c r="BB6" s="181">
        <f t="shared" si="29"/>
        <v>0.16521576801262039</v>
      </c>
      <c r="BC6" s="181">
        <f t="shared" si="30"/>
        <v>0.16287938341446212</v>
      </c>
      <c r="BD6" s="181"/>
      <c r="BE6" s="548">
        <f t="shared" si="31"/>
        <v>2.5797916666666661E-4</v>
      </c>
      <c r="BF6" s="548">
        <f t="shared" si="32"/>
        <v>2.1494612068965521E-3</v>
      </c>
      <c r="BG6" s="548">
        <f t="shared" si="33"/>
        <v>3.3999702734839474E-4</v>
      </c>
      <c r="BH6" s="548">
        <f t="shared" si="34"/>
        <v>1.1613575960538049E-3</v>
      </c>
      <c r="BI6">
        <f t="shared" si="35"/>
        <v>3.48E-3</v>
      </c>
      <c r="BJ6" s="474">
        <f t="shared" ref="BJ6:BJ69" si="52">SUM(BE6:BI6)*1000</f>
        <v>7.3887949969654185</v>
      </c>
      <c r="BK6" s="181">
        <f t="shared" si="36"/>
        <v>1.0499999999999999E-3</v>
      </c>
      <c r="BL6" s="181">
        <f t="shared" si="37"/>
        <v>1.0499999999999999E-3</v>
      </c>
      <c r="BM6" s="548"/>
      <c r="BO6" s="474">
        <f t="shared" ref="BO6:BO69" si="53">SUM(BK6:BN6)*1000</f>
        <v>2.1</v>
      </c>
      <c r="BP6" s="548">
        <f t="shared" si="38"/>
        <v>0</v>
      </c>
      <c r="BQ6" s="548">
        <f t="shared" ref="BQ6:BQ68" si="54">Rdcr_sec*BB6^2</f>
        <v>0</v>
      </c>
      <c r="BR6" s="548">
        <f t="shared" si="39"/>
        <v>2.3876724187327819E-3</v>
      </c>
      <c r="BS6" s="548">
        <f t="shared" si="40"/>
        <v>8.7373104359560088E-6</v>
      </c>
      <c r="BT6" s="658">
        <f t="shared" si="41"/>
        <v>2.4018750000000004E-3</v>
      </c>
      <c r="BU6" s="474">
        <f t="shared" ref="BU6:BU69" si="55">SUM(BP6:BT6)*1000</f>
        <v>4.7982847291687385</v>
      </c>
      <c r="BV6" s="181">
        <f t="shared" ref="BV6:BV69" si="56">SUM(BE6:BI6,BK6:BN6,BP6:BT6)</f>
        <v>1.4287079726134157E-2</v>
      </c>
      <c r="BW6" s="6">
        <f t="shared" ref="BW6:BW69" si="57">MIN(H6+I6,O6+P6)</f>
        <v>6.9000000000000006E-2</v>
      </c>
      <c r="BX6" s="181">
        <f t="shared" ref="BX6:BX69" si="58">BW6/(BW6+BV6)</f>
        <v>0.82845983106727772</v>
      </c>
      <c r="BY6" s="6">
        <f t="shared" ref="BY6:BY69" si="59">BX6*100</f>
        <v>82.845983106727772</v>
      </c>
      <c r="BZ6">
        <f t="shared" ref="BZ6:BZ37" si="60">F6/Iout*100</f>
        <v>1</v>
      </c>
      <c r="CB6" s="583">
        <f t="shared" si="42"/>
        <v>-50</v>
      </c>
      <c r="CC6">
        <f t="shared" si="43"/>
        <v>-50</v>
      </c>
    </row>
    <row r="7" spans="2:81" x14ac:dyDescent="0.2">
      <c r="E7" s="178">
        <v>2</v>
      </c>
      <c r="F7" s="225">
        <f>IF(PLOT_TYPE=1, E7/100*Iout, min_I*EXP(O7*rr/100))</f>
        <v>6.0000000000000001E-3</v>
      </c>
      <c r="G7" s="225">
        <f t="shared" si="44"/>
        <v>6.0000000000000001E-3</v>
      </c>
      <c r="H7" s="225">
        <f t="shared" si="0"/>
        <v>0.09</v>
      </c>
      <c r="I7" s="225">
        <f>G7*Vout2</f>
        <v>4.8000000000000001E-2</v>
      </c>
      <c r="J7" s="561">
        <f t="shared" si="1"/>
        <v>12</v>
      </c>
      <c r="K7" s="456">
        <f t="shared" si="2"/>
        <v>15.25</v>
      </c>
      <c r="L7" s="456">
        <f t="shared" si="3"/>
        <v>27.25</v>
      </c>
      <c r="M7" s="456"/>
      <c r="N7" s="225">
        <f t="shared" si="4"/>
        <v>0.55963302752293576</v>
      </c>
      <c r="O7" s="180">
        <f t="shared" si="45"/>
        <v>2.8577782209812521</v>
      </c>
      <c r="P7" s="180">
        <f t="shared" si="5"/>
        <v>2.3370275229357795</v>
      </c>
      <c r="Q7" s="225">
        <f t="shared" si="6"/>
        <v>0.19051854806541682</v>
      </c>
      <c r="R7" s="225">
        <f t="shared" si="7"/>
        <v>0.35722227762265651</v>
      </c>
      <c r="S7" s="456">
        <f t="shared" si="8"/>
        <v>15</v>
      </c>
      <c r="T7" s="225">
        <f t="shared" si="9"/>
        <v>4.5664845173041896E-2</v>
      </c>
      <c r="U7" s="225">
        <f t="shared" si="10"/>
        <v>0.15221615057680635</v>
      </c>
      <c r="V7" s="225">
        <f t="shared" si="11"/>
        <v>0.11977664307683121</v>
      </c>
      <c r="W7" s="205">
        <f t="shared" si="12"/>
        <v>350</v>
      </c>
      <c r="X7" s="456">
        <f t="shared" si="46"/>
        <v>350</v>
      </c>
      <c r="Z7" s="225">
        <f t="shared" si="13"/>
        <v>0.47968545216251629</v>
      </c>
      <c r="AA7" s="181">
        <f t="shared" si="14"/>
        <v>1.258191349934469</v>
      </c>
      <c r="AB7" s="181">
        <f t="shared" si="15"/>
        <v>0.10561881515504945</v>
      </c>
      <c r="AC7" s="181"/>
      <c r="AD7" s="181">
        <f t="shared" si="16"/>
        <v>0.76065573770491812</v>
      </c>
      <c r="AE7" s="565">
        <f t="shared" si="17"/>
        <v>54.399524375743162</v>
      </c>
      <c r="AF7" s="548">
        <f t="shared" si="18"/>
        <v>3.8603278688524589E-2</v>
      </c>
      <c r="AH7" s="181">
        <f t="shared" si="19"/>
        <v>0.14040757000349274</v>
      </c>
      <c r="AI7" s="181">
        <f t="shared" si="20"/>
        <v>0.28999999999999998</v>
      </c>
      <c r="AJ7" s="181">
        <f t="shared" si="21"/>
        <v>1.0310854425004248</v>
      </c>
      <c r="AL7" s="565">
        <f t="shared" si="22"/>
        <v>6</v>
      </c>
      <c r="AM7" s="474">
        <f t="shared" si="23"/>
        <v>54.399524375743162</v>
      </c>
      <c r="AO7">
        <f t="shared" si="47"/>
        <v>6</v>
      </c>
      <c r="AP7" s="474">
        <f t="shared" si="24"/>
        <v>54.399524375743162</v>
      </c>
      <c r="AQ7" s="474"/>
      <c r="AR7" s="6">
        <f t="shared" si="48"/>
        <v>18.382513661202186</v>
      </c>
      <c r="AS7" s="6">
        <f t="shared" si="25"/>
        <v>0.96666666666666679</v>
      </c>
      <c r="AT7" s="6">
        <f t="shared" si="49"/>
        <v>17.415846994535521</v>
      </c>
      <c r="AU7" s="181">
        <f t="shared" si="50"/>
        <v>5.2586206896551732E-2</v>
      </c>
      <c r="AW7" s="6">
        <f t="shared" si="26"/>
        <v>3.8666666666666669E-2</v>
      </c>
      <c r="AX7" s="6">
        <f t="shared" si="27"/>
        <v>7.2499999999999995E-2</v>
      </c>
      <c r="AY7" s="6">
        <f t="shared" si="28"/>
        <v>0.24188676381299332</v>
      </c>
      <c r="AZ7" s="6"/>
      <c r="BA7" s="181">
        <f t="shared" si="51"/>
        <v>3.8394878130639597E-2</v>
      </c>
      <c r="BB7" s="181">
        <f t="shared" si="29"/>
        <v>0.16296983360937284</v>
      </c>
      <c r="BC7" s="181">
        <f t="shared" si="30"/>
        <v>0.16066520969974535</v>
      </c>
      <c r="BD7" s="181"/>
      <c r="BE7" s="548">
        <f t="shared" si="31"/>
        <v>5.1595833333333333E-4</v>
      </c>
      <c r="BF7" s="548">
        <f t="shared" si="32"/>
        <v>4.2989224137931041E-3</v>
      </c>
      <c r="BG7" s="548">
        <f t="shared" si="33"/>
        <v>6.7999405469678948E-4</v>
      </c>
      <c r="BH7" s="548">
        <f t="shared" si="34"/>
        <v>2.3227151921076097E-3</v>
      </c>
      <c r="BI7">
        <f t="shared" si="35"/>
        <v>3.48E-3</v>
      </c>
      <c r="BJ7" s="474">
        <f t="shared" si="52"/>
        <v>11.297589993930837</v>
      </c>
      <c r="BK7" s="181">
        <f t="shared" si="36"/>
        <v>2.0999999999999999E-3</v>
      </c>
      <c r="BL7" s="181">
        <f t="shared" si="37"/>
        <v>2.0999999999999999E-3</v>
      </c>
      <c r="BM7" s="548"/>
      <c r="BO7" s="474">
        <f t="shared" si="53"/>
        <v>4.2</v>
      </c>
      <c r="BP7" s="548">
        <f t="shared" si="38"/>
        <v>0</v>
      </c>
      <c r="BQ7" s="548">
        <f t="shared" si="54"/>
        <v>0</v>
      </c>
      <c r="BR7" s="548">
        <f t="shared" si="39"/>
        <v>2.3231978647076834E-3</v>
      </c>
      <c r="BS7" s="548">
        <f t="shared" si="40"/>
        <v>4.9425691668771833E-5</v>
      </c>
      <c r="BT7" s="658">
        <f t="shared" si="41"/>
        <v>4.8037500000000007E-3</v>
      </c>
      <c r="BU7" s="474">
        <f t="shared" si="55"/>
        <v>7.1763735563764559</v>
      </c>
      <c r="BV7" s="181">
        <f t="shared" si="56"/>
        <v>2.2673963550307291E-2</v>
      </c>
      <c r="BW7" s="6">
        <f t="shared" si="57"/>
        <v>0.13800000000000001</v>
      </c>
      <c r="BX7" s="181">
        <f t="shared" si="58"/>
        <v>0.85888215458624673</v>
      </c>
      <c r="BY7" s="6">
        <f t="shared" si="59"/>
        <v>85.888215458624671</v>
      </c>
      <c r="BZ7">
        <f t="shared" si="60"/>
        <v>2</v>
      </c>
      <c r="CB7" s="583">
        <f t="shared" si="42"/>
        <v>-50</v>
      </c>
      <c r="CC7">
        <f t="shared" si="43"/>
        <v>-50</v>
      </c>
    </row>
    <row r="8" spans="2:81" x14ac:dyDescent="0.2">
      <c r="E8" s="178">
        <v>3</v>
      </c>
      <c r="F8" s="225">
        <f t="shared" ref="F8:F39" si="61">IF(PLOT_TYPE=1, E8/100*Iout_max, min_I*EXP(O8*rr/100))</f>
        <v>8.9999999999999993E-3</v>
      </c>
      <c r="G8" s="225">
        <f t="shared" si="44"/>
        <v>8.9999999999999993E-3</v>
      </c>
      <c r="H8" s="225">
        <f t="shared" si="0"/>
        <v>0.13499999999999998</v>
      </c>
      <c r="I8" s="225">
        <f t="shared" ref="I8:I39" si="62">Vout2*G8</f>
        <v>7.1999999999999995E-2</v>
      </c>
      <c r="J8" s="561">
        <f t="shared" si="1"/>
        <v>12</v>
      </c>
      <c r="K8" s="456">
        <f t="shared" si="2"/>
        <v>15.25</v>
      </c>
      <c r="L8" s="456">
        <f t="shared" si="3"/>
        <v>27.25</v>
      </c>
      <c r="M8" s="456"/>
      <c r="N8" s="225">
        <f t="shared" si="4"/>
        <v>0.55963302752293576</v>
      </c>
      <c r="O8" s="180">
        <f t="shared" si="45"/>
        <v>2.8577782209812521</v>
      </c>
      <c r="P8" s="180">
        <f t="shared" si="5"/>
        <v>2.3370275229357795</v>
      </c>
      <c r="Q8" s="225">
        <f t="shared" si="6"/>
        <v>0.19051854806541682</v>
      </c>
      <c r="R8" s="225">
        <f t="shared" si="7"/>
        <v>0.35722227762265651</v>
      </c>
      <c r="S8" s="456">
        <f t="shared" si="8"/>
        <v>15</v>
      </c>
      <c r="T8" s="225">
        <f t="shared" si="9"/>
        <v>6.849726775956283E-2</v>
      </c>
      <c r="U8" s="225">
        <f t="shared" si="10"/>
        <v>0.22832422586520945</v>
      </c>
      <c r="V8" s="225">
        <f t="shared" si="11"/>
        <v>0.17966496461524678</v>
      </c>
      <c r="W8" s="205">
        <f t="shared" si="12"/>
        <v>350</v>
      </c>
      <c r="X8" s="456">
        <f t="shared" si="46"/>
        <v>350</v>
      </c>
      <c r="Z8" s="225">
        <f t="shared" si="13"/>
        <v>0.47968545216251629</v>
      </c>
      <c r="AA8" s="181">
        <f t="shared" si="14"/>
        <v>1.258191349934469</v>
      </c>
      <c r="AB8" s="181">
        <f t="shared" si="15"/>
        <v>0.10561881515504945</v>
      </c>
      <c r="AC8" s="181"/>
      <c r="AD8" s="181">
        <f t="shared" si="16"/>
        <v>0.76065573770491812</v>
      </c>
      <c r="AE8" s="565">
        <f t="shared" si="17"/>
        <v>81.599286563614726</v>
      </c>
      <c r="AF8" s="548">
        <f t="shared" si="18"/>
        <v>3.8603278688524589E-2</v>
      </c>
      <c r="AH8" s="181">
        <f t="shared" si="19"/>
        <v>0.17196345126633322</v>
      </c>
      <c r="AI8" s="181">
        <f t="shared" si="20"/>
        <v>0.28999999999999998</v>
      </c>
      <c r="AJ8" s="181">
        <f t="shared" si="21"/>
        <v>1.0466281637506369</v>
      </c>
      <c r="AL8" s="565">
        <f t="shared" si="22"/>
        <v>9</v>
      </c>
      <c r="AM8" s="474">
        <f t="shared" si="23"/>
        <v>81.599286563614726</v>
      </c>
      <c r="AO8">
        <f t="shared" si="47"/>
        <v>9</v>
      </c>
      <c r="AP8" s="474">
        <f t="shared" si="24"/>
        <v>81.599286563614726</v>
      </c>
      <c r="AQ8" s="474"/>
      <c r="AR8" s="6">
        <f t="shared" si="48"/>
        <v>12.255009107468128</v>
      </c>
      <c r="AS8" s="6">
        <f t="shared" si="25"/>
        <v>0.96666666666666679</v>
      </c>
      <c r="AT8" s="6">
        <f t="shared" si="49"/>
        <v>11.288342440801461</v>
      </c>
      <c r="AU8" s="181">
        <f t="shared" si="50"/>
        <v>7.8879310344827563E-2</v>
      </c>
      <c r="AW8" s="6">
        <f t="shared" si="26"/>
        <v>5.800000000000001E-2</v>
      </c>
      <c r="AX8" s="6">
        <f t="shared" si="27"/>
        <v>0.10875000000000001</v>
      </c>
      <c r="AY8" s="6">
        <f t="shared" si="28"/>
        <v>0.23517380085003034</v>
      </c>
      <c r="AZ8" s="6"/>
      <c r="BA8" s="181">
        <f t="shared" si="51"/>
        <v>4.7023930078205912E-2</v>
      </c>
      <c r="BB8" s="181">
        <f t="shared" si="29"/>
        <v>0.16069251175251861</v>
      </c>
      <c r="BC8" s="181">
        <f t="shared" si="30"/>
        <v>0.15842009239440219</v>
      </c>
      <c r="BD8" s="181"/>
      <c r="BE8" s="548">
        <f t="shared" si="31"/>
        <v>7.7393749999999956E-4</v>
      </c>
      <c r="BF8" s="548">
        <f t="shared" si="32"/>
        <v>6.4483836206896536E-3</v>
      </c>
      <c r="BG8" s="548">
        <f t="shared" si="33"/>
        <v>1.0199910820451838E-3</v>
      </c>
      <c r="BH8" s="548">
        <f t="shared" si="34"/>
        <v>3.4840727881614141E-3</v>
      </c>
      <c r="BI8">
        <f t="shared" si="35"/>
        <v>3.48E-3</v>
      </c>
      <c r="BJ8" s="474">
        <f t="shared" si="52"/>
        <v>15.206384990896252</v>
      </c>
      <c r="BK8" s="181">
        <f t="shared" si="36"/>
        <v>3.1499999999999996E-3</v>
      </c>
      <c r="BL8" s="181">
        <f t="shared" si="37"/>
        <v>3.1499999999999996E-3</v>
      </c>
      <c r="BM8" s="548"/>
      <c r="BO8" s="474">
        <f t="shared" si="53"/>
        <v>6.2999999999999989</v>
      </c>
      <c r="BP8" s="548">
        <f t="shared" si="38"/>
        <v>0</v>
      </c>
      <c r="BQ8" s="548">
        <f t="shared" si="54"/>
        <v>0</v>
      </c>
      <c r="BR8" s="548">
        <f t="shared" si="39"/>
        <v>2.2587233106825832E-3</v>
      </c>
      <c r="BS8" s="548">
        <f t="shared" si="40"/>
        <v>1.3620119036919815E-4</v>
      </c>
      <c r="BT8" s="658">
        <f t="shared" si="41"/>
        <v>7.2056249999999994E-3</v>
      </c>
      <c r="BU8" s="474">
        <f t="shared" si="55"/>
        <v>9.6005495010517805</v>
      </c>
      <c r="BV8" s="181">
        <f t="shared" si="56"/>
        <v>3.1106934491948034E-2</v>
      </c>
      <c r="BW8" s="6">
        <f t="shared" si="57"/>
        <v>0.20699999999999996</v>
      </c>
      <c r="BX8" s="181">
        <f t="shared" si="58"/>
        <v>0.86935729293932018</v>
      </c>
      <c r="BY8" s="6">
        <f t="shared" si="59"/>
        <v>86.935729293932013</v>
      </c>
      <c r="BZ8">
        <f t="shared" si="60"/>
        <v>3</v>
      </c>
      <c r="CB8" s="583">
        <f t="shared" si="42"/>
        <v>-50</v>
      </c>
      <c r="CC8">
        <f t="shared" si="43"/>
        <v>-50</v>
      </c>
    </row>
    <row r="9" spans="2:81" x14ac:dyDescent="0.2">
      <c r="E9" s="178">
        <v>4</v>
      </c>
      <c r="F9" s="225">
        <f t="shared" si="61"/>
        <v>1.2E-2</v>
      </c>
      <c r="G9" s="225">
        <f t="shared" si="44"/>
        <v>1.2E-2</v>
      </c>
      <c r="H9" s="225">
        <f t="shared" si="0"/>
        <v>0.18</v>
      </c>
      <c r="I9" s="225">
        <f t="shared" si="62"/>
        <v>9.6000000000000002E-2</v>
      </c>
      <c r="J9" s="561">
        <f t="shared" si="1"/>
        <v>12</v>
      </c>
      <c r="K9" s="456">
        <f t="shared" si="2"/>
        <v>15.25</v>
      </c>
      <c r="L9" s="456">
        <f t="shared" si="3"/>
        <v>27.25</v>
      </c>
      <c r="M9" s="456"/>
      <c r="N9" s="225">
        <f t="shared" si="4"/>
        <v>0.55963302752293576</v>
      </c>
      <c r="O9" s="180">
        <f t="shared" si="45"/>
        <v>2.8577782209812521</v>
      </c>
      <c r="P9" s="180">
        <f t="shared" si="5"/>
        <v>2.3370275229357795</v>
      </c>
      <c r="Q9" s="225">
        <f t="shared" si="6"/>
        <v>0.19051854806541682</v>
      </c>
      <c r="R9" s="225">
        <f t="shared" si="7"/>
        <v>0.35722227762265651</v>
      </c>
      <c r="S9" s="456">
        <f t="shared" si="8"/>
        <v>15</v>
      </c>
      <c r="T9" s="225">
        <f t="shared" si="9"/>
        <v>9.1329690346083792E-2</v>
      </c>
      <c r="U9" s="225">
        <f t="shared" si="10"/>
        <v>0.30443230115361269</v>
      </c>
      <c r="V9" s="225">
        <f t="shared" si="11"/>
        <v>0.23955328615366242</v>
      </c>
      <c r="W9" s="205">
        <f t="shared" si="12"/>
        <v>350</v>
      </c>
      <c r="X9" s="456">
        <f t="shared" si="46"/>
        <v>350</v>
      </c>
      <c r="Z9" s="225">
        <f t="shared" si="13"/>
        <v>0.47968545216251629</v>
      </c>
      <c r="AA9" s="181">
        <f t="shared" si="14"/>
        <v>1.258191349934469</v>
      </c>
      <c r="AB9" s="181">
        <f t="shared" si="15"/>
        <v>0.10561881515504945</v>
      </c>
      <c r="AC9" s="181"/>
      <c r="AD9" s="181">
        <f t="shared" si="16"/>
        <v>0.76065573770491812</v>
      </c>
      <c r="AE9" s="565">
        <f t="shared" si="17"/>
        <v>108.79904875148632</v>
      </c>
      <c r="AF9" s="548">
        <f t="shared" si="18"/>
        <v>3.8603278688524589E-2</v>
      </c>
      <c r="AH9" s="181">
        <f t="shared" si="19"/>
        <v>0.19856628975878918</v>
      </c>
      <c r="AI9" s="181">
        <f t="shared" si="20"/>
        <v>0.28999999999999998</v>
      </c>
      <c r="AJ9" s="181">
        <f t="shared" si="21"/>
        <v>1.0621708850008493</v>
      </c>
      <c r="AL9" s="565">
        <f t="shared" si="22"/>
        <v>12</v>
      </c>
      <c r="AM9" s="474">
        <f t="shared" si="23"/>
        <v>108.79904875148632</v>
      </c>
      <c r="AO9">
        <f t="shared" si="47"/>
        <v>12</v>
      </c>
      <c r="AP9" s="474">
        <f t="shared" si="24"/>
        <v>108.79904875148632</v>
      </c>
      <c r="AQ9" s="474"/>
      <c r="AR9" s="6">
        <f t="shared" si="48"/>
        <v>9.1912568306010929</v>
      </c>
      <c r="AS9" s="6">
        <f t="shared" si="25"/>
        <v>0.96666666666666679</v>
      </c>
      <c r="AT9" s="6">
        <f t="shared" si="49"/>
        <v>8.2245901639344261</v>
      </c>
      <c r="AU9" s="181">
        <f t="shared" si="50"/>
        <v>0.10517241379310346</v>
      </c>
      <c r="AW9" s="6">
        <f t="shared" si="26"/>
        <v>7.7333333333333337E-2</v>
      </c>
      <c r="AX9" s="6">
        <f t="shared" si="27"/>
        <v>0.14499999999999999</v>
      </c>
      <c r="AY9" s="6">
        <f t="shared" si="28"/>
        <v>0.22846083788706734</v>
      </c>
      <c r="AZ9" s="6"/>
      <c r="BA9" s="181">
        <f t="shared" si="51"/>
        <v>5.429855737801266E-2</v>
      </c>
      <c r="BB9" s="181">
        <f t="shared" si="29"/>
        <v>0.15838244852255567</v>
      </c>
      <c r="BC9" s="181">
        <f t="shared" si="30"/>
        <v>0.15614269672526698</v>
      </c>
      <c r="BD9" s="181"/>
      <c r="BE9" s="548">
        <f t="shared" si="31"/>
        <v>1.0319166666666664E-3</v>
      </c>
      <c r="BF9" s="548">
        <f t="shared" si="32"/>
        <v>8.5978448275862082E-3</v>
      </c>
      <c r="BG9" s="548">
        <f t="shared" si="33"/>
        <v>1.359988109393579E-3</v>
      </c>
      <c r="BH9" s="548">
        <f t="shared" si="34"/>
        <v>4.6454303842152194E-3</v>
      </c>
      <c r="BI9">
        <f t="shared" si="35"/>
        <v>3.48E-3</v>
      </c>
      <c r="BJ9" s="474">
        <f t="shared" si="52"/>
        <v>19.115179987861673</v>
      </c>
      <c r="BK9" s="181">
        <f t="shared" si="36"/>
        <v>4.1999999999999997E-3</v>
      </c>
      <c r="BL9" s="181">
        <f t="shared" si="37"/>
        <v>4.1999999999999997E-3</v>
      </c>
      <c r="BM9" s="548"/>
      <c r="BO9" s="474">
        <f t="shared" si="53"/>
        <v>8.4</v>
      </c>
      <c r="BP9" s="548">
        <f t="shared" si="38"/>
        <v>0</v>
      </c>
      <c r="BQ9" s="548">
        <f t="shared" si="54"/>
        <v>0</v>
      </c>
      <c r="BR9" s="548">
        <f t="shared" si="39"/>
        <v>2.194248756657483E-3</v>
      </c>
      <c r="BS9" s="548">
        <f t="shared" si="40"/>
        <v>2.7959393395059234E-4</v>
      </c>
      <c r="BT9" s="658">
        <f t="shared" si="41"/>
        <v>9.6075000000000015E-3</v>
      </c>
      <c r="BU9" s="474">
        <f t="shared" si="55"/>
        <v>12.081342690608077</v>
      </c>
      <c r="BV9" s="181">
        <f t="shared" si="56"/>
        <v>3.9596522678469748E-2</v>
      </c>
      <c r="BW9" s="6">
        <f t="shared" si="57"/>
        <v>0.27600000000000002</v>
      </c>
      <c r="BX9" s="181">
        <f t="shared" si="58"/>
        <v>0.87453435056123618</v>
      </c>
      <c r="BY9" s="6">
        <f t="shared" si="59"/>
        <v>87.453435056123624</v>
      </c>
      <c r="BZ9">
        <f t="shared" si="60"/>
        <v>4</v>
      </c>
      <c r="CB9" s="583">
        <f t="shared" si="42"/>
        <v>-50</v>
      </c>
      <c r="CC9">
        <f t="shared" si="43"/>
        <v>-50</v>
      </c>
    </row>
    <row r="10" spans="2:81" x14ac:dyDescent="0.2">
      <c r="E10" s="178">
        <v>5</v>
      </c>
      <c r="F10" s="225">
        <f t="shared" si="61"/>
        <v>1.4999999999999999E-2</v>
      </c>
      <c r="G10" s="225">
        <f t="shared" si="44"/>
        <v>1.4999999999999999E-2</v>
      </c>
      <c r="H10" s="225">
        <f t="shared" si="0"/>
        <v>0.22499999999999998</v>
      </c>
      <c r="I10" s="225">
        <f t="shared" si="62"/>
        <v>0.12</v>
      </c>
      <c r="J10" s="561">
        <f t="shared" si="1"/>
        <v>12</v>
      </c>
      <c r="K10" s="456">
        <f t="shared" si="2"/>
        <v>15.25</v>
      </c>
      <c r="L10" s="456">
        <f t="shared" si="3"/>
        <v>27.25</v>
      </c>
      <c r="M10" s="456"/>
      <c r="N10" s="225">
        <f t="shared" si="4"/>
        <v>0.55963302752293576</v>
      </c>
      <c r="O10" s="180">
        <f t="shared" si="45"/>
        <v>2.8577782209812521</v>
      </c>
      <c r="P10" s="180">
        <f t="shared" si="5"/>
        <v>2.3370275229357795</v>
      </c>
      <c r="Q10" s="225">
        <f t="shared" si="6"/>
        <v>0.19051854806541682</v>
      </c>
      <c r="R10" s="225">
        <f t="shared" si="7"/>
        <v>0.35722227762265651</v>
      </c>
      <c r="S10" s="456">
        <f t="shared" si="8"/>
        <v>15</v>
      </c>
      <c r="T10" s="225">
        <f t="shared" si="9"/>
        <v>0.11416211293260471</v>
      </c>
      <c r="U10" s="225">
        <f t="shared" si="10"/>
        <v>0.38054037644201577</v>
      </c>
      <c r="V10" s="225">
        <f t="shared" si="11"/>
        <v>0.29944160769207795</v>
      </c>
      <c r="W10" s="205">
        <f t="shared" si="12"/>
        <v>350</v>
      </c>
      <c r="X10" s="456">
        <f t="shared" si="46"/>
        <v>350</v>
      </c>
      <c r="Z10" s="225">
        <f t="shared" si="13"/>
        <v>0.47968545216251629</v>
      </c>
      <c r="AA10" s="181">
        <f t="shared" si="14"/>
        <v>1.258191349934469</v>
      </c>
      <c r="AB10" s="181">
        <f t="shared" si="15"/>
        <v>0.10561881515504945</v>
      </c>
      <c r="AC10" s="181"/>
      <c r="AD10" s="181">
        <f t="shared" si="16"/>
        <v>0.76065573770491812</v>
      </c>
      <c r="AE10" s="565">
        <f t="shared" si="17"/>
        <v>135.9988109393579</v>
      </c>
      <c r="AF10" s="548">
        <f t="shared" si="18"/>
        <v>3.8603278688524589E-2</v>
      </c>
      <c r="AH10" s="181">
        <f t="shared" si="19"/>
        <v>0.22200386097028643</v>
      </c>
      <c r="AI10" s="181">
        <f t="shared" si="20"/>
        <v>0.28999999999999998</v>
      </c>
      <c r="AJ10" s="181">
        <f t="shared" si="21"/>
        <v>1.0777136062510617</v>
      </c>
      <c r="AL10" s="565">
        <f t="shared" si="22"/>
        <v>15</v>
      </c>
      <c r="AM10" s="474">
        <f t="shared" si="23"/>
        <v>135.9988109393579</v>
      </c>
      <c r="AO10">
        <f t="shared" si="47"/>
        <v>15</v>
      </c>
      <c r="AP10" s="474">
        <f t="shared" si="24"/>
        <v>135.9988109393579</v>
      </c>
      <c r="AQ10" s="474"/>
      <c r="AR10" s="6">
        <f t="shared" si="48"/>
        <v>7.3530054644808747</v>
      </c>
      <c r="AS10" s="6">
        <f t="shared" si="25"/>
        <v>0.96666666666666679</v>
      </c>
      <c r="AT10" s="6">
        <f t="shared" si="49"/>
        <v>6.3863387978142079</v>
      </c>
      <c r="AU10" s="181">
        <f t="shared" si="50"/>
        <v>0.13146551724137931</v>
      </c>
      <c r="AW10" s="6">
        <f t="shared" si="26"/>
        <v>9.6666666666666665E-2</v>
      </c>
      <c r="AX10" s="6">
        <f t="shared" si="27"/>
        <v>0.18125000000000002</v>
      </c>
      <c r="AY10" s="6">
        <f t="shared" si="28"/>
        <v>0.22174787492410439</v>
      </c>
      <c r="AZ10" s="6"/>
      <c r="BA10" s="181">
        <f t="shared" si="51"/>
        <v>6.0707632688704521E-2</v>
      </c>
      <c r="BB10" s="181">
        <f t="shared" si="29"/>
        <v>0.15603818976989786</v>
      </c>
      <c r="BC10" s="181">
        <f t="shared" si="30"/>
        <v>0.15383158910648517</v>
      </c>
      <c r="BD10" s="181"/>
      <c r="BE10" s="548">
        <f t="shared" si="31"/>
        <v>1.289895833333333E-3</v>
      </c>
      <c r="BF10" s="548">
        <f t="shared" si="32"/>
        <v>1.0747306034482757E-2</v>
      </c>
      <c r="BG10" s="548">
        <f t="shared" si="33"/>
        <v>1.6999851367419736E-3</v>
      </c>
      <c r="BH10" s="548">
        <f t="shared" si="34"/>
        <v>5.8067879802690247E-3</v>
      </c>
      <c r="BI10">
        <f t="shared" si="35"/>
        <v>3.48E-3</v>
      </c>
      <c r="BJ10" s="474">
        <f t="shared" si="52"/>
        <v>23.023974984827088</v>
      </c>
      <c r="BK10" s="181">
        <f t="shared" si="36"/>
        <v>5.2499999999999995E-3</v>
      </c>
      <c r="BL10" s="181">
        <f t="shared" si="37"/>
        <v>5.2499999999999995E-3</v>
      </c>
      <c r="BM10" s="548"/>
      <c r="BO10" s="474">
        <f t="shared" si="53"/>
        <v>10.499999999999998</v>
      </c>
      <c r="BP10" s="548">
        <f t="shared" si="38"/>
        <v>0</v>
      </c>
      <c r="BQ10" s="548">
        <f t="shared" si="54"/>
        <v>0</v>
      </c>
      <c r="BR10" s="548">
        <f t="shared" si="39"/>
        <v>2.129774202632384E-3</v>
      </c>
      <c r="BS10" s="548">
        <f t="shared" si="40"/>
        <v>4.8843050188289883E-4</v>
      </c>
      <c r="BT10" s="658">
        <f t="shared" si="41"/>
        <v>1.2009375000000001E-2</v>
      </c>
      <c r="BU10" s="474">
        <f t="shared" si="55"/>
        <v>14.627579704515284</v>
      </c>
      <c r="BV10" s="181">
        <f t="shared" si="56"/>
        <v>4.8151554689342374E-2</v>
      </c>
      <c r="BW10" s="6">
        <f t="shared" si="57"/>
        <v>0.34499999999999997</v>
      </c>
      <c r="BX10" s="181">
        <f t="shared" si="58"/>
        <v>0.87752419107844948</v>
      </c>
      <c r="BY10" s="6">
        <f t="shared" si="59"/>
        <v>87.752419107844943</v>
      </c>
      <c r="BZ10">
        <f t="shared" si="60"/>
        <v>5</v>
      </c>
      <c r="CB10" s="583">
        <f t="shared" si="42"/>
        <v>-50</v>
      </c>
      <c r="CC10">
        <f t="shared" si="43"/>
        <v>-50</v>
      </c>
    </row>
    <row r="11" spans="2:81" x14ac:dyDescent="0.2">
      <c r="E11" s="178">
        <v>6</v>
      </c>
      <c r="F11" s="225">
        <f t="shared" si="61"/>
        <v>1.7999999999999999E-2</v>
      </c>
      <c r="G11" s="225">
        <f t="shared" si="44"/>
        <v>1.7999999999999999E-2</v>
      </c>
      <c r="H11" s="225">
        <f t="shared" si="0"/>
        <v>0.26999999999999996</v>
      </c>
      <c r="I11" s="225">
        <f t="shared" si="62"/>
        <v>0.14399999999999999</v>
      </c>
      <c r="J11" s="561">
        <f t="shared" si="1"/>
        <v>12</v>
      </c>
      <c r="K11" s="456">
        <f t="shared" si="2"/>
        <v>15.25</v>
      </c>
      <c r="L11" s="456">
        <f t="shared" si="3"/>
        <v>27.25</v>
      </c>
      <c r="M11" s="456"/>
      <c r="N11" s="225">
        <f t="shared" si="4"/>
        <v>0.55963302752293576</v>
      </c>
      <c r="O11" s="180">
        <f t="shared" si="45"/>
        <v>2.8577782209812521</v>
      </c>
      <c r="P11" s="180">
        <f t="shared" si="5"/>
        <v>2.3370275229357795</v>
      </c>
      <c r="Q11" s="225">
        <f t="shared" si="6"/>
        <v>0.19051854806541682</v>
      </c>
      <c r="R11" s="225">
        <f t="shared" si="7"/>
        <v>0.35722227762265651</v>
      </c>
      <c r="S11" s="456">
        <f t="shared" si="8"/>
        <v>15</v>
      </c>
      <c r="T11" s="225">
        <f t="shared" si="9"/>
        <v>0.13699453551912566</v>
      </c>
      <c r="U11" s="225">
        <f t="shared" si="10"/>
        <v>0.4566484517304189</v>
      </c>
      <c r="V11" s="225">
        <f t="shared" si="11"/>
        <v>0.35932992923049356</v>
      </c>
      <c r="W11" s="205">
        <f t="shared" si="12"/>
        <v>350</v>
      </c>
      <c r="X11" s="456">
        <f t="shared" si="46"/>
        <v>350</v>
      </c>
      <c r="Z11" s="225">
        <f t="shared" si="13"/>
        <v>0.47968545216251629</v>
      </c>
      <c r="AA11" s="181">
        <f t="shared" si="14"/>
        <v>1.258191349934469</v>
      </c>
      <c r="AB11" s="181">
        <f t="shared" si="15"/>
        <v>0.10561881515504945</v>
      </c>
      <c r="AC11" s="181"/>
      <c r="AD11" s="181">
        <f t="shared" si="16"/>
        <v>0.76065573770491812</v>
      </c>
      <c r="AE11" s="565">
        <f t="shared" si="17"/>
        <v>163.19857312722945</v>
      </c>
      <c r="AF11" s="548">
        <f t="shared" si="18"/>
        <v>3.8603278688524589E-2</v>
      </c>
      <c r="AH11" s="181">
        <f t="shared" si="19"/>
        <v>0.24319304501333322</v>
      </c>
      <c r="AI11" s="181">
        <f t="shared" si="20"/>
        <v>0.28999999999999998</v>
      </c>
      <c r="AJ11" s="181">
        <f t="shared" si="21"/>
        <v>1.0932563275012739</v>
      </c>
      <c r="AL11" s="565">
        <f t="shared" si="22"/>
        <v>18</v>
      </c>
      <c r="AM11" s="474">
        <f t="shared" si="23"/>
        <v>163.19857312722945</v>
      </c>
      <c r="AO11">
        <f t="shared" si="47"/>
        <v>18</v>
      </c>
      <c r="AP11" s="474">
        <f t="shared" si="24"/>
        <v>163.19857312722945</v>
      </c>
      <c r="AQ11" s="474"/>
      <c r="AR11" s="6">
        <f t="shared" si="48"/>
        <v>6.127504553734064</v>
      </c>
      <c r="AS11" s="6">
        <f t="shared" si="25"/>
        <v>0.96666666666666679</v>
      </c>
      <c r="AT11" s="6">
        <f t="shared" si="49"/>
        <v>5.1608378870673972</v>
      </c>
      <c r="AU11" s="181">
        <f t="shared" si="50"/>
        <v>0.15775862068965513</v>
      </c>
      <c r="AW11" s="6">
        <f t="shared" si="26"/>
        <v>0.11600000000000002</v>
      </c>
      <c r="AX11" s="6">
        <f t="shared" si="27"/>
        <v>0.21750000000000003</v>
      </c>
      <c r="AY11" s="6">
        <f t="shared" si="28"/>
        <v>0.21503491196114149</v>
      </c>
      <c r="AZ11" s="6"/>
      <c r="BA11" s="181">
        <f t="shared" si="51"/>
        <v>6.6501879672682923E-2</v>
      </c>
      <c r="BB11" s="181">
        <f t="shared" si="29"/>
        <v>0.15365817040864874</v>
      </c>
      <c r="BC11" s="181">
        <f t="shared" si="30"/>
        <v>0.15148522658468805</v>
      </c>
      <c r="BD11" s="181"/>
      <c r="BE11" s="548">
        <f t="shared" si="31"/>
        <v>1.5478749999999993E-3</v>
      </c>
      <c r="BF11" s="548">
        <f t="shared" si="32"/>
        <v>1.2896767241379307E-2</v>
      </c>
      <c r="BG11" s="548">
        <f t="shared" si="33"/>
        <v>2.0399821640903677E-3</v>
      </c>
      <c r="BH11" s="548">
        <f t="shared" si="34"/>
        <v>6.9681455763228282E-3</v>
      </c>
      <c r="BI11">
        <f t="shared" si="35"/>
        <v>3.48E-3</v>
      </c>
      <c r="BJ11" s="474">
        <f t="shared" si="52"/>
        <v>26.932769981792504</v>
      </c>
      <c r="BK11" s="181">
        <f t="shared" si="36"/>
        <v>6.2999999999999992E-3</v>
      </c>
      <c r="BL11" s="181">
        <f t="shared" si="37"/>
        <v>6.2999999999999992E-3</v>
      </c>
      <c r="BM11" s="548"/>
      <c r="BO11" s="474">
        <f t="shared" si="53"/>
        <v>12.599999999999998</v>
      </c>
      <c r="BP11" s="548">
        <f t="shared" si="38"/>
        <v>0</v>
      </c>
      <c r="BQ11" s="548">
        <f t="shared" si="54"/>
        <v>0</v>
      </c>
      <c r="BR11" s="548">
        <f t="shared" si="39"/>
        <v>2.0652996486072851E-3</v>
      </c>
      <c r="BS11" s="548">
        <f t="shared" si="40"/>
        <v>7.7047028252592018E-4</v>
      </c>
      <c r="BT11" s="658">
        <f t="shared" si="41"/>
        <v>1.4411249999999999E-2</v>
      </c>
      <c r="BU11" s="474">
        <f t="shared" si="55"/>
        <v>17.247019931133202</v>
      </c>
      <c r="BV11" s="181">
        <f t="shared" si="56"/>
        <v>5.6779789912925711E-2</v>
      </c>
      <c r="BW11" s="6">
        <f t="shared" si="57"/>
        <v>0.41399999999999992</v>
      </c>
      <c r="BX11" s="181">
        <f t="shared" si="58"/>
        <v>0.87939204033497786</v>
      </c>
      <c r="BY11" s="6">
        <f t="shared" si="59"/>
        <v>87.939204033497788</v>
      </c>
      <c r="BZ11">
        <f t="shared" si="60"/>
        <v>6</v>
      </c>
      <c r="CB11" s="583">
        <f t="shared" si="42"/>
        <v>-50</v>
      </c>
      <c r="CC11">
        <f t="shared" si="43"/>
        <v>-50</v>
      </c>
    </row>
    <row r="12" spans="2:81" x14ac:dyDescent="0.2">
      <c r="E12" s="178">
        <v>7</v>
      </c>
      <c r="F12" s="225">
        <f t="shared" si="61"/>
        <v>2.1000000000000001E-2</v>
      </c>
      <c r="G12" s="225">
        <f t="shared" si="44"/>
        <v>2.1000000000000001E-2</v>
      </c>
      <c r="H12" s="225">
        <f t="shared" si="0"/>
        <v>0.315</v>
      </c>
      <c r="I12" s="225">
        <f t="shared" si="62"/>
        <v>0.16800000000000001</v>
      </c>
      <c r="J12" s="561">
        <f t="shared" si="1"/>
        <v>12</v>
      </c>
      <c r="K12" s="456">
        <f t="shared" si="2"/>
        <v>15.25</v>
      </c>
      <c r="L12" s="456">
        <f t="shared" si="3"/>
        <v>27.25</v>
      </c>
      <c r="M12" s="456"/>
      <c r="N12" s="225">
        <f t="shared" si="4"/>
        <v>0.55963302752293576</v>
      </c>
      <c r="O12" s="180">
        <f t="shared" si="45"/>
        <v>2.8577782209812521</v>
      </c>
      <c r="P12" s="180">
        <f t="shared" si="5"/>
        <v>2.3370275229357795</v>
      </c>
      <c r="Q12" s="225">
        <f t="shared" si="6"/>
        <v>0.19051854806541682</v>
      </c>
      <c r="R12" s="225">
        <f t="shared" si="7"/>
        <v>0.35722227762265651</v>
      </c>
      <c r="S12" s="456">
        <f t="shared" si="8"/>
        <v>15</v>
      </c>
      <c r="T12" s="225">
        <f t="shared" si="9"/>
        <v>0.15982695810564662</v>
      </c>
      <c r="U12" s="225">
        <f t="shared" si="10"/>
        <v>0.53275652701882215</v>
      </c>
      <c r="V12" s="225">
        <f t="shared" si="11"/>
        <v>0.41921825076890917</v>
      </c>
      <c r="W12" s="205">
        <f t="shared" si="12"/>
        <v>350</v>
      </c>
      <c r="X12" s="456">
        <f t="shared" si="46"/>
        <v>350</v>
      </c>
      <c r="Z12" s="225">
        <f t="shared" si="13"/>
        <v>0.47968545216251629</v>
      </c>
      <c r="AA12" s="181">
        <f t="shared" si="14"/>
        <v>1.258191349934469</v>
      </c>
      <c r="AB12" s="181">
        <f t="shared" si="15"/>
        <v>0.10561881515504945</v>
      </c>
      <c r="AC12" s="181"/>
      <c r="AD12" s="181">
        <f t="shared" si="16"/>
        <v>0.76065573770491812</v>
      </c>
      <c r="AE12" s="565">
        <f t="shared" si="17"/>
        <v>190.39833531510109</v>
      </c>
      <c r="AF12" s="548">
        <f t="shared" si="18"/>
        <v>3.8603278688524589E-2</v>
      </c>
      <c r="AH12" s="181">
        <f t="shared" si="19"/>
        <v>0.26267851073127391</v>
      </c>
      <c r="AI12" s="181">
        <f t="shared" si="20"/>
        <v>0.28999999999999998</v>
      </c>
      <c r="AJ12" s="181">
        <f t="shared" si="21"/>
        <v>1.1087990487514863</v>
      </c>
      <c r="AL12" s="565">
        <f t="shared" si="22"/>
        <v>21</v>
      </c>
      <c r="AM12" s="474">
        <f t="shared" si="23"/>
        <v>190.39833531510109</v>
      </c>
      <c r="AO12">
        <f t="shared" si="47"/>
        <v>21</v>
      </c>
      <c r="AP12" s="474">
        <f t="shared" si="24"/>
        <v>190.39833531510109</v>
      </c>
      <c r="AQ12" s="474"/>
      <c r="AR12" s="6">
        <f t="shared" si="48"/>
        <v>5.2521467603434813</v>
      </c>
      <c r="AS12" s="6">
        <f t="shared" si="25"/>
        <v>0.96666666666666679</v>
      </c>
      <c r="AT12" s="6">
        <f t="shared" si="49"/>
        <v>4.2854800936768145</v>
      </c>
      <c r="AU12" s="181">
        <f t="shared" si="50"/>
        <v>0.18405172413793108</v>
      </c>
      <c r="AW12" s="6">
        <f t="shared" si="26"/>
        <v>0.13533333333333333</v>
      </c>
      <c r="AX12" s="6">
        <f t="shared" si="27"/>
        <v>0.25375000000000003</v>
      </c>
      <c r="AY12" s="6">
        <f t="shared" si="28"/>
        <v>0.20832194899817844</v>
      </c>
      <c r="AZ12" s="6"/>
      <c r="BA12" s="181">
        <f t="shared" si="51"/>
        <v>7.1830239685896455E-2</v>
      </c>
      <c r="BB12" s="181">
        <f t="shared" si="29"/>
        <v>0.15124070219355631</v>
      </c>
      <c r="BC12" s="181">
        <f t="shared" si="30"/>
        <v>0.14910194478879898</v>
      </c>
      <c r="BD12" s="181"/>
      <c r="BE12" s="548">
        <f t="shared" si="31"/>
        <v>1.8058541666666668E-3</v>
      </c>
      <c r="BF12" s="548">
        <f t="shared" si="32"/>
        <v>1.5046228448275863E-2</v>
      </c>
      <c r="BG12" s="548">
        <f t="shared" si="33"/>
        <v>2.3799791914387637E-3</v>
      </c>
      <c r="BH12" s="548">
        <f t="shared" si="34"/>
        <v>8.1295031723766353E-3</v>
      </c>
      <c r="BI12">
        <f t="shared" si="35"/>
        <v>3.48E-3</v>
      </c>
      <c r="BJ12" s="474">
        <f t="shared" si="52"/>
        <v>30.841564978757926</v>
      </c>
      <c r="BK12" s="181">
        <f t="shared" si="36"/>
        <v>7.3499999999999998E-3</v>
      </c>
      <c r="BL12" s="181">
        <f t="shared" si="37"/>
        <v>7.3499999999999998E-3</v>
      </c>
      <c r="BM12" s="548"/>
      <c r="BO12" s="474">
        <f t="shared" si="53"/>
        <v>14.7</v>
      </c>
      <c r="BP12" s="548">
        <f t="shared" si="38"/>
        <v>0</v>
      </c>
      <c r="BQ12" s="548">
        <f t="shared" si="54"/>
        <v>0</v>
      </c>
      <c r="BR12" s="548">
        <f t="shared" si="39"/>
        <v>2.0008250945821853E-3</v>
      </c>
      <c r="BS12" s="548">
        <f t="shared" si="40"/>
        <v>1.1327207765143372E-3</v>
      </c>
      <c r="BT12" s="658">
        <f t="shared" si="41"/>
        <v>1.6813125000000005E-2</v>
      </c>
      <c r="BU12" s="474">
        <f t="shared" si="55"/>
        <v>19.946670871096529</v>
      </c>
      <c r="BV12" s="181">
        <f t="shared" si="56"/>
        <v>6.5488235849854456E-2</v>
      </c>
      <c r="BW12" s="6">
        <f t="shared" si="57"/>
        <v>0.48299999999999998</v>
      </c>
      <c r="BX12" s="181">
        <f t="shared" si="58"/>
        <v>0.88060229633114417</v>
      </c>
      <c r="BY12" s="6">
        <f t="shared" si="59"/>
        <v>88.060229633114417</v>
      </c>
      <c r="BZ12">
        <f t="shared" si="60"/>
        <v>7.0000000000000009</v>
      </c>
      <c r="CB12" s="583">
        <f t="shared" si="42"/>
        <v>-50</v>
      </c>
      <c r="CC12">
        <f t="shared" si="43"/>
        <v>-50</v>
      </c>
    </row>
    <row r="13" spans="2:81" s="78" customFormat="1" x14ac:dyDescent="0.2">
      <c r="E13" s="197">
        <v>8</v>
      </c>
      <c r="F13" s="225">
        <f t="shared" si="61"/>
        <v>2.4E-2</v>
      </c>
      <c r="G13" s="225">
        <f t="shared" si="44"/>
        <v>2.4E-2</v>
      </c>
      <c r="H13" s="225">
        <f t="shared" si="0"/>
        <v>0.36</v>
      </c>
      <c r="I13" s="225">
        <f t="shared" si="62"/>
        <v>0.192</v>
      </c>
      <c r="J13" s="561">
        <f t="shared" si="1"/>
        <v>12</v>
      </c>
      <c r="K13" s="456">
        <f t="shared" si="2"/>
        <v>15.25</v>
      </c>
      <c r="L13" s="555">
        <f t="shared" si="3"/>
        <v>27.25</v>
      </c>
      <c r="M13" s="555"/>
      <c r="N13" s="337">
        <f t="shared" si="4"/>
        <v>0.55963302752293576</v>
      </c>
      <c r="O13" s="180">
        <f t="shared" si="45"/>
        <v>2.8577782209812521</v>
      </c>
      <c r="P13" s="180">
        <f t="shared" si="5"/>
        <v>2.3370275229357795</v>
      </c>
      <c r="Q13" s="337">
        <f t="shared" si="6"/>
        <v>0.19051854806541682</v>
      </c>
      <c r="R13" s="225">
        <f t="shared" si="7"/>
        <v>0.35722227762265651</v>
      </c>
      <c r="S13" s="456">
        <f t="shared" si="8"/>
        <v>15</v>
      </c>
      <c r="T13" s="225">
        <f t="shared" si="9"/>
        <v>0.18265938069216758</v>
      </c>
      <c r="U13" s="337">
        <f t="shared" si="10"/>
        <v>0.60886460230722539</v>
      </c>
      <c r="V13" s="225">
        <f t="shared" si="11"/>
        <v>0.47910657230732484</v>
      </c>
      <c r="W13" s="557">
        <f t="shared" si="12"/>
        <v>350</v>
      </c>
      <c r="X13" s="555">
        <f t="shared" si="46"/>
        <v>350</v>
      </c>
      <c r="Z13" s="337">
        <f t="shared" si="13"/>
        <v>0.47968545216251629</v>
      </c>
      <c r="AA13" s="181">
        <f t="shared" si="14"/>
        <v>1.258191349934469</v>
      </c>
      <c r="AB13" s="181">
        <f t="shared" si="15"/>
        <v>0.10561881515504945</v>
      </c>
      <c r="AC13" s="558"/>
      <c r="AD13" s="181">
        <f t="shared" si="16"/>
        <v>0.76065573770491812</v>
      </c>
      <c r="AE13" s="565">
        <f t="shared" si="17"/>
        <v>217.59809750297265</v>
      </c>
      <c r="AF13" s="548">
        <f t="shared" si="18"/>
        <v>3.8603278688524589E-2</v>
      </c>
      <c r="AG13"/>
      <c r="AH13" s="181">
        <f t="shared" si="19"/>
        <v>0.28081514000698549</v>
      </c>
      <c r="AI13" s="181">
        <f t="shared" si="20"/>
        <v>0.28999999999999998</v>
      </c>
      <c r="AJ13" s="181">
        <f t="shared" si="21"/>
        <v>1.1243417700016987</v>
      </c>
      <c r="AL13" s="565">
        <f t="shared" si="22"/>
        <v>24</v>
      </c>
      <c r="AM13" s="474">
        <f t="shared" si="23"/>
        <v>217.59809750297265</v>
      </c>
      <c r="AO13">
        <f t="shared" si="47"/>
        <v>24</v>
      </c>
      <c r="AP13" s="474">
        <f t="shared" si="24"/>
        <v>217.59809750297265</v>
      </c>
      <c r="AQ13" s="474"/>
      <c r="AR13" s="6">
        <f t="shared" si="48"/>
        <v>4.5956284153005464</v>
      </c>
      <c r="AS13" s="6">
        <f t="shared" si="25"/>
        <v>0.96666666666666679</v>
      </c>
      <c r="AT13" s="6">
        <f t="shared" si="49"/>
        <v>3.6289617486338797</v>
      </c>
      <c r="AU13" s="181">
        <f t="shared" si="50"/>
        <v>0.21034482758620693</v>
      </c>
      <c r="AW13" s="6">
        <f t="shared" si="26"/>
        <v>0.15466666666666667</v>
      </c>
      <c r="AX13" s="6">
        <f t="shared" si="27"/>
        <v>0.28999999999999998</v>
      </c>
      <c r="AY13" s="6">
        <f t="shared" si="28"/>
        <v>0.20160898603521551</v>
      </c>
      <c r="AZ13" s="6"/>
      <c r="BA13" s="181">
        <f t="shared" si="51"/>
        <v>7.6789756261279193E-2</v>
      </c>
      <c r="BB13" s="181">
        <f t="shared" si="29"/>
        <v>0.14878395970892383</v>
      </c>
      <c r="BC13" s="181">
        <f t="shared" si="30"/>
        <v>0.14667994411708044</v>
      </c>
      <c r="BD13" s="181"/>
      <c r="BE13" s="548">
        <f t="shared" si="31"/>
        <v>2.0638333333333333E-3</v>
      </c>
      <c r="BF13" s="548">
        <f t="shared" si="32"/>
        <v>1.7195689655172416E-2</v>
      </c>
      <c r="BG13" s="548">
        <f t="shared" si="33"/>
        <v>2.7199762187871579E-3</v>
      </c>
      <c r="BH13" s="548">
        <f t="shared" si="34"/>
        <v>9.2908607684304388E-3</v>
      </c>
      <c r="BI13">
        <f t="shared" si="35"/>
        <v>3.48E-3</v>
      </c>
      <c r="BJ13" s="474">
        <f t="shared" si="52"/>
        <v>34.750359975723342</v>
      </c>
      <c r="BK13" s="181">
        <f t="shared" si="36"/>
        <v>8.3999999999999995E-3</v>
      </c>
      <c r="BL13" s="181">
        <f t="shared" si="37"/>
        <v>8.3999999999999995E-3</v>
      </c>
      <c r="BM13" s="548"/>
      <c r="BO13" s="474">
        <f t="shared" si="53"/>
        <v>16.8</v>
      </c>
      <c r="BP13" s="548">
        <f t="shared" si="38"/>
        <v>0</v>
      </c>
      <c r="BQ13" s="548">
        <f t="shared" si="54"/>
        <v>0</v>
      </c>
      <c r="BR13" s="548">
        <f t="shared" si="39"/>
        <v>1.9363505405570855E-3</v>
      </c>
      <c r="BS13" s="548">
        <f t="shared" si="40"/>
        <v>1.5816221334006993E-3</v>
      </c>
      <c r="BT13" s="658">
        <f t="shared" si="41"/>
        <v>1.9215000000000003E-2</v>
      </c>
      <c r="BU13" s="474">
        <f t="shared" si="55"/>
        <v>22.732972673957789</v>
      </c>
      <c r="BV13" s="181">
        <f t="shared" si="56"/>
        <v>7.4283332649681122E-2</v>
      </c>
      <c r="BW13" s="6">
        <f t="shared" si="57"/>
        <v>0.55200000000000005</v>
      </c>
      <c r="BX13" s="181">
        <f t="shared" si="58"/>
        <v>0.88139021305995324</v>
      </c>
      <c r="BY13" s="6">
        <f t="shared" si="59"/>
        <v>88.139021305995328</v>
      </c>
      <c r="BZ13">
        <f t="shared" si="60"/>
        <v>8</v>
      </c>
      <c r="CB13" s="583">
        <f t="shared" si="42"/>
        <v>-50</v>
      </c>
      <c r="CC13">
        <f t="shared" si="43"/>
        <v>-50</v>
      </c>
    </row>
    <row r="14" spans="2:81" x14ac:dyDescent="0.2">
      <c r="E14" s="178">
        <v>9</v>
      </c>
      <c r="F14" s="225">
        <f t="shared" si="61"/>
        <v>2.7E-2</v>
      </c>
      <c r="G14" s="225">
        <f t="shared" si="44"/>
        <v>2.7E-2</v>
      </c>
      <c r="H14" s="225">
        <f t="shared" si="0"/>
        <v>0.40499999999999997</v>
      </c>
      <c r="I14" s="225">
        <f t="shared" si="62"/>
        <v>0.216</v>
      </c>
      <c r="J14" s="561">
        <f t="shared" si="1"/>
        <v>12</v>
      </c>
      <c r="K14" s="456">
        <f t="shared" si="2"/>
        <v>15.25</v>
      </c>
      <c r="L14" s="456">
        <f t="shared" si="3"/>
        <v>27.25</v>
      </c>
      <c r="M14" s="456"/>
      <c r="N14" s="225">
        <f t="shared" si="4"/>
        <v>0.55963302752293576</v>
      </c>
      <c r="O14" s="180">
        <f t="shared" si="45"/>
        <v>2.8577782209812521</v>
      </c>
      <c r="P14" s="180">
        <f t="shared" si="5"/>
        <v>2.3370275229357795</v>
      </c>
      <c r="Q14" s="225">
        <f t="shared" si="6"/>
        <v>0.19051854806541682</v>
      </c>
      <c r="R14" s="225">
        <f t="shared" si="7"/>
        <v>0.35722227762265651</v>
      </c>
      <c r="S14" s="456">
        <f t="shared" si="8"/>
        <v>15</v>
      </c>
      <c r="T14" s="225">
        <f t="shared" si="9"/>
        <v>0.20549180327868852</v>
      </c>
      <c r="U14" s="225">
        <f t="shared" si="10"/>
        <v>0.68497267759562852</v>
      </c>
      <c r="V14" s="225">
        <f t="shared" si="11"/>
        <v>0.5389948938457404</v>
      </c>
      <c r="W14" s="205">
        <f t="shared" si="12"/>
        <v>350</v>
      </c>
      <c r="X14" s="456">
        <f t="shared" si="46"/>
        <v>350</v>
      </c>
      <c r="Z14" s="225">
        <f t="shared" si="13"/>
        <v>0.47968545216251629</v>
      </c>
      <c r="AA14" s="181">
        <f t="shared" si="14"/>
        <v>1.258191349934469</v>
      </c>
      <c r="AB14" s="181">
        <f t="shared" si="15"/>
        <v>0.10561881515504945</v>
      </c>
      <c r="AC14" s="181"/>
      <c r="AD14" s="181">
        <f t="shared" si="16"/>
        <v>0.76065573770491812</v>
      </c>
      <c r="AE14" s="565">
        <f t="shared" si="17"/>
        <v>244.79785969084423</v>
      </c>
      <c r="AF14" s="548">
        <f t="shared" si="18"/>
        <v>3.8603278688524589E-2</v>
      </c>
      <c r="AH14" s="181">
        <f t="shared" si="19"/>
        <v>0.29784943463818375</v>
      </c>
      <c r="AI14" s="181">
        <f t="shared" si="20"/>
        <v>0.29784943463818375</v>
      </c>
      <c r="AJ14" s="181">
        <f t="shared" si="21"/>
        <v>1.139884491251911</v>
      </c>
      <c r="AL14" s="565">
        <f t="shared" si="22"/>
        <v>27</v>
      </c>
      <c r="AM14" s="474">
        <f t="shared" si="23"/>
        <v>244.79785969084423</v>
      </c>
      <c r="AO14">
        <f t="shared" si="47"/>
        <v>27</v>
      </c>
      <c r="AP14" s="474">
        <f t="shared" si="24"/>
        <v>244.79785969084423</v>
      </c>
      <c r="AQ14" s="474"/>
      <c r="AR14" s="6">
        <f t="shared" si="48"/>
        <v>4.0850030358227079</v>
      </c>
      <c r="AS14" s="6">
        <f t="shared" si="25"/>
        <v>0.99283144879394603</v>
      </c>
      <c r="AT14" s="6">
        <f t="shared" si="49"/>
        <v>3.092171587028762</v>
      </c>
      <c r="AU14" s="181">
        <f t="shared" si="50"/>
        <v>0.243043013698518</v>
      </c>
      <c r="AW14" s="6">
        <f t="shared" si="26"/>
        <v>0.17870966078291028</v>
      </c>
      <c r="AX14" s="6">
        <f t="shared" si="27"/>
        <v>0.3350806139679568</v>
      </c>
      <c r="AY14" s="6">
        <f t="shared" si="28"/>
        <v>0.19326072418929757</v>
      </c>
      <c r="AZ14" s="6"/>
      <c r="BA14" s="181">
        <f t="shared" si="51"/>
        <v>8.47769374262273E-2</v>
      </c>
      <c r="BB14" s="181">
        <f t="shared" si="29"/>
        <v>0.14961383442736206</v>
      </c>
      <c r="BC14" s="181">
        <f t="shared" si="30"/>
        <v>0.14749808323343977</v>
      </c>
      <c r="BD14" s="181"/>
      <c r="BE14" s="548">
        <f t="shared" si="31"/>
        <v>2.5154951917796607E-3</v>
      </c>
      <c r="BF14" s="548">
        <f t="shared" si="32"/>
        <v>1.9868766369853842E-2</v>
      </c>
      <c r="BG14" s="548">
        <f t="shared" si="33"/>
        <v>3.059973246135553E-3</v>
      </c>
      <c r="BH14" s="548">
        <f t="shared" si="34"/>
        <v>1.0452218364484244E-2</v>
      </c>
      <c r="BI14">
        <f t="shared" si="35"/>
        <v>3.48E-3</v>
      </c>
      <c r="BJ14" s="474">
        <f t="shared" si="52"/>
        <v>39.376453172253299</v>
      </c>
      <c r="BK14" s="181">
        <f t="shared" si="36"/>
        <v>9.4500000000000001E-3</v>
      </c>
      <c r="BL14" s="181">
        <f t="shared" si="37"/>
        <v>9.4500000000000001E-3</v>
      </c>
      <c r="BM14" s="548"/>
      <c r="BO14" s="474">
        <f t="shared" si="53"/>
        <v>18.899999999999999</v>
      </c>
      <c r="BP14" s="548">
        <f t="shared" si="38"/>
        <v>0</v>
      </c>
      <c r="BQ14" s="548">
        <f t="shared" si="54"/>
        <v>0</v>
      </c>
      <c r="BR14" s="548">
        <f t="shared" si="39"/>
        <v>1.9580116101784849E-3</v>
      </c>
      <c r="BS14" s="548">
        <f t="shared" si="40"/>
        <v>2.2697655258958893E-3</v>
      </c>
      <c r="BT14" s="658">
        <f t="shared" si="41"/>
        <v>2.2802920630202138E-2</v>
      </c>
      <c r="BU14" s="474">
        <f t="shared" si="55"/>
        <v>27.030697766276514</v>
      </c>
      <c r="BV14" s="181">
        <f t="shared" si="56"/>
        <v>8.5307150938529808E-2</v>
      </c>
      <c r="BW14" s="6">
        <f t="shared" si="57"/>
        <v>0.621</v>
      </c>
      <c r="BX14" s="181">
        <f t="shared" si="58"/>
        <v>0.87922088736440651</v>
      </c>
      <c r="BY14" s="6">
        <f t="shared" si="59"/>
        <v>87.922088736440656</v>
      </c>
      <c r="BZ14">
        <f t="shared" si="60"/>
        <v>9</v>
      </c>
      <c r="CB14" s="583">
        <f t="shared" si="42"/>
        <v>-50</v>
      </c>
      <c r="CC14">
        <f t="shared" si="43"/>
        <v>-50</v>
      </c>
    </row>
    <row r="15" spans="2:81" x14ac:dyDescent="0.2">
      <c r="E15" s="178">
        <v>10</v>
      </c>
      <c r="F15" s="225">
        <f t="shared" si="61"/>
        <v>0.03</v>
      </c>
      <c r="G15" s="225">
        <f t="shared" si="44"/>
        <v>0.03</v>
      </c>
      <c r="H15" s="225">
        <f t="shared" si="0"/>
        <v>0.44999999999999996</v>
      </c>
      <c r="I15" s="225">
        <f t="shared" si="62"/>
        <v>0.24</v>
      </c>
      <c r="J15" s="561">
        <f t="shared" si="1"/>
        <v>12</v>
      </c>
      <c r="K15" s="456">
        <f t="shared" si="2"/>
        <v>15.25</v>
      </c>
      <c r="L15" s="456">
        <f t="shared" si="3"/>
        <v>27.25</v>
      </c>
      <c r="M15" s="456"/>
      <c r="N15" s="225">
        <f t="shared" si="4"/>
        <v>0.55963302752293576</v>
      </c>
      <c r="O15" s="180">
        <f t="shared" si="45"/>
        <v>2.8577782209812521</v>
      </c>
      <c r="P15" s="180">
        <f t="shared" si="5"/>
        <v>2.3370275229357795</v>
      </c>
      <c r="Q15" s="225">
        <f t="shared" si="6"/>
        <v>0.19051854806541682</v>
      </c>
      <c r="R15" s="225">
        <f t="shared" si="7"/>
        <v>0.35722227762265651</v>
      </c>
      <c r="S15" s="456">
        <f t="shared" si="8"/>
        <v>15</v>
      </c>
      <c r="T15" s="225">
        <f t="shared" si="9"/>
        <v>0.22832422586520942</v>
      </c>
      <c r="U15" s="225">
        <f t="shared" si="10"/>
        <v>0.76108075288403154</v>
      </c>
      <c r="V15" s="225">
        <f t="shared" si="11"/>
        <v>0.5988832153841559</v>
      </c>
      <c r="W15" s="205">
        <f t="shared" si="12"/>
        <v>350</v>
      </c>
      <c r="X15" s="456">
        <f t="shared" si="46"/>
        <v>350</v>
      </c>
      <c r="Z15" s="225">
        <f t="shared" si="13"/>
        <v>0.47968545216251629</v>
      </c>
      <c r="AA15" s="181">
        <f t="shared" si="14"/>
        <v>1.258191349934469</v>
      </c>
      <c r="AB15" s="181">
        <f t="shared" si="15"/>
        <v>0.10561881515504945</v>
      </c>
      <c r="AC15" s="181"/>
      <c r="AD15" s="181">
        <f t="shared" si="16"/>
        <v>0.76065573770491812</v>
      </c>
      <c r="AE15" s="565">
        <f t="shared" si="17"/>
        <v>271.99762187871579</v>
      </c>
      <c r="AF15" s="548">
        <f t="shared" si="18"/>
        <v>3.8603278688524589E-2</v>
      </c>
      <c r="AH15" s="181">
        <f t="shared" si="19"/>
        <v>0.31396087108337012</v>
      </c>
      <c r="AI15" s="181">
        <f t="shared" si="20"/>
        <v>0.31396087108337012</v>
      </c>
      <c r="AJ15" s="181">
        <f t="shared" si="21"/>
        <v>1.1554272125021234</v>
      </c>
      <c r="AL15" s="565">
        <f t="shared" si="22"/>
        <v>30</v>
      </c>
      <c r="AM15" s="474">
        <f t="shared" si="23"/>
        <v>271.99762187871579</v>
      </c>
      <c r="AO15">
        <f t="shared" si="47"/>
        <v>30</v>
      </c>
      <c r="AP15" s="474">
        <f t="shared" si="24"/>
        <v>271.99762187871579</v>
      </c>
      <c r="AQ15" s="474"/>
      <c r="AR15" s="6">
        <f t="shared" si="48"/>
        <v>3.6765027322404373</v>
      </c>
      <c r="AS15" s="6">
        <f t="shared" si="25"/>
        <v>1.0465362369445672</v>
      </c>
      <c r="AT15" s="6">
        <f t="shared" si="49"/>
        <v>2.6299664952958701</v>
      </c>
      <c r="AU15" s="181">
        <f t="shared" si="50"/>
        <v>0.28465536765882254</v>
      </c>
      <c r="AW15" s="6">
        <f t="shared" si="26"/>
        <v>0.20930724738891343</v>
      </c>
      <c r="AX15" s="6">
        <f t="shared" si="27"/>
        <v>0.3924510888542127</v>
      </c>
      <c r="AY15" s="6">
        <f t="shared" si="28"/>
        <v>0.18263656217332427</v>
      </c>
      <c r="AZ15" s="6"/>
      <c r="BA15" s="181">
        <f t="shared" si="51"/>
        <v>9.6710713368367077E-2</v>
      </c>
      <c r="BB15" s="181">
        <f t="shared" si="29"/>
        <v>0.15331073275189963</v>
      </c>
      <c r="BC15" s="181">
        <f t="shared" si="30"/>
        <v>0.15114270218773135</v>
      </c>
      <c r="BD15" s="181"/>
      <c r="BE15" s="548">
        <f t="shared" si="31"/>
        <v>3.273536728076459E-3</v>
      </c>
      <c r="BF15" s="548">
        <f t="shared" si="32"/>
        <v>2.327057630610874E-2</v>
      </c>
      <c r="BG15" s="548">
        <f t="shared" si="33"/>
        <v>3.3999702734839473E-3</v>
      </c>
      <c r="BH15" s="548">
        <f t="shared" si="34"/>
        <v>1.1613575960538049E-2</v>
      </c>
      <c r="BI15">
        <f t="shared" si="35"/>
        <v>3.48E-3</v>
      </c>
      <c r="BJ15" s="474">
        <f t="shared" si="52"/>
        <v>45.037659268207186</v>
      </c>
      <c r="BK15" s="181">
        <f t="shared" si="36"/>
        <v>1.0499999999999999E-2</v>
      </c>
      <c r="BL15" s="181">
        <f t="shared" si="37"/>
        <v>1.0499999999999999E-2</v>
      </c>
      <c r="BM15" s="548"/>
      <c r="BO15" s="474">
        <f t="shared" si="53"/>
        <v>20.999999999999996</v>
      </c>
      <c r="BP15" s="548">
        <f t="shared" si="38"/>
        <v>0</v>
      </c>
      <c r="BQ15" s="548">
        <f t="shared" si="54"/>
        <v>0</v>
      </c>
      <c r="BR15" s="548">
        <f t="shared" si="39"/>
        <v>2.0559704782148326E-3</v>
      </c>
      <c r="BS15" s="548">
        <f t="shared" si="40"/>
        <v>3.3695475167346096E-3</v>
      </c>
      <c r="BT15" s="658">
        <f t="shared" si="41"/>
        <v>2.8151753864447078E-2</v>
      </c>
      <c r="BU15" s="474">
        <f t="shared" si="55"/>
        <v>33.577271859396518</v>
      </c>
      <c r="BV15" s="181">
        <f t="shared" si="56"/>
        <v>9.9614931127603695E-2</v>
      </c>
      <c r="BW15" s="6">
        <f t="shared" si="57"/>
        <v>0.69</v>
      </c>
      <c r="BX15" s="181">
        <f t="shared" si="58"/>
        <v>0.87384365821787424</v>
      </c>
      <c r="BY15" s="6">
        <f t="shared" si="59"/>
        <v>87.384365821787426</v>
      </c>
      <c r="BZ15">
        <f t="shared" si="60"/>
        <v>10</v>
      </c>
      <c r="CB15" s="583">
        <f t="shared" si="42"/>
        <v>-50</v>
      </c>
      <c r="CC15">
        <f t="shared" si="43"/>
        <v>-50</v>
      </c>
    </row>
    <row r="16" spans="2:81" x14ac:dyDescent="0.2">
      <c r="E16" s="178">
        <v>11</v>
      </c>
      <c r="F16" s="225">
        <f t="shared" si="61"/>
        <v>3.3000000000000002E-2</v>
      </c>
      <c r="G16" s="225">
        <f t="shared" si="44"/>
        <v>3.3000000000000002E-2</v>
      </c>
      <c r="H16" s="225">
        <f t="shared" si="0"/>
        <v>0.495</v>
      </c>
      <c r="I16" s="225">
        <f t="shared" si="62"/>
        <v>0.26400000000000001</v>
      </c>
      <c r="J16" s="561">
        <f t="shared" si="1"/>
        <v>12</v>
      </c>
      <c r="K16" s="456">
        <f t="shared" si="2"/>
        <v>15.25</v>
      </c>
      <c r="L16" s="456">
        <f t="shared" si="3"/>
        <v>27.25</v>
      </c>
      <c r="M16" s="456"/>
      <c r="N16" s="225">
        <f t="shared" si="4"/>
        <v>0.55963302752293576</v>
      </c>
      <c r="O16" s="180">
        <f t="shared" si="45"/>
        <v>2.8577782209812521</v>
      </c>
      <c r="P16" s="180">
        <f t="shared" si="5"/>
        <v>2.3370275229357795</v>
      </c>
      <c r="Q16" s="225">
        <f t="shared" si="6"/>
        <v>0.19051854806541682</v>
      </c>
      <c r="R16" s="225">
        <f t="shared" si="7"/>
        <v>0.35722227762265651</v>
      </c>
      <c r="S16" s="456">
        <f t="shared" si="8"/>
        <v>15</v>
      </c>
      <c r="T16" s="225">
        <f t="shared" si="9"/>
        <v>0.25115664845173041</v>
      </c>
      <c r="U16" s="225">
        <f t="shared" si="10"/>
        <v>0.83718882817243478</v>
      </c>
      <c r="V16" s="225">
        <f t="shared" si="11"/>
        <v>0.65877153692257173</v>
      </c>
      <c r="W16" s="205">
        <f t="shared" si="12"/>
        <v>350</v>
      </c>
      <c r="X16" s="456">
        <f t="shared" si="46"/>
        <v>350</v>
      </c>
      <c r="Z16" s="225">
        <f t="shared" si="13"/>
        <v>0.47968545216251629</v>
      </c>
      <c r="AA16" s="181">
        <f t="shared" si="14"/>
        <v>1.258191349934469</v>
      </c>
      <c r="AB16" s="181">
        <f t="shared" si="15"/>
        <v>0.10561881515504945</v>
      </c>
      <c r="AC16" s="181"/>
      <c r="AD16" s="181">
        <f t="shared" si="16"/>
        <v>0.76065573770491812</v>
      </c>
      <c r="AE16" s="565">
        <f t="shared" si="17"/>
        <v>299.1973840665874</v>
      </c>
      <c r="AF16" s="548">
        <f t="shared" si="18"/>
        <v>3.8603278688524589E-2</v>
      </c>
      <c r="AH16" s="181">
        <f t="shared" si="19"/>
        <v>0.32928493957144689</v>
      </c>
      <c r="AI16" s="181">
        <f t="shared" si="20"/>
        <v>0.32928493957144689</v>
      </c>
      <c r="AJ16" s="181">
        <f t="shared" si="21"/>
        <v>1.1709699337523356</v>
      </c>
      <c r="AL16" s="565">
        <f t="shared" si="22"/>
        <v>33</v>
      </c>
      <c r="AM16" s="474">
        <f t="shared" si="23"/>
        <v>299.1973840665874</v>
      </c>
      <c r="AO16">
        <f t="shared" si="47"/>
        <v>33</v>
      </c>
      <c r="AP16" s="474">
        <f t="shared" si="24"/>
        <v>299.1973840665874</v>
      </c>
      <c r="AQ16" s="474"/>
      <c r="AR16" s="6">
        <f t="shared" si="48"/>
        <v>3.3422752111276699</v>
      </c>
      <c r="AS16" s="6">
        <f t="shared" si="25"/>
        <v>1.0976164652381564</v>
      </c>
      <c r="AT16" s="6">
        <f t="shared" si="49"/>
        <v>2.2446587458895135</v>
      </c>
      <c r="AU16" s="181">
        <f t="shared" si="50"/>
        <v>0.32840397510767078</v>
      </c>
      <c r="AW16" s="6">
        <f t="shared" si="26"/>
        <v>0.24147562235239442</v>
      </c>
      <c r="AX16" s="6">
        <f t="shared" si="27"/>
        <v>0.45276679191073954</v>
      </c>
      <c r="AY16" s="6">
        <f t="shared" si="28"/>
        <v>0.1714669875332267</v>
      </c>
      <c r="AZ16" s="6"/>
      <c r="BA16" s="181">
        <f t="shared" si="51"/>
        <v>0.10894704198583346</v>
      </c>
      <c r="BB16" s="181">
        <f t="shared" si="29"/>
        <v>0.155799227165587</v>
      </c>
      <c r="BC16" s="181">
        <f t="shared" si="30"/>
        <v>0.15359600577132615</v>
      </c>
      <c r="BD16" s="181"/>
      <c r="BE16" s="548">
        <f t="shared" si="31"/>
        <v>4.1543102851120351E-3</v>
      </c>
      <c r="BF16" s="548">
        <f t="shared" si="32"/>
        <v>2.6847024965052084E-2</v>
      </c>
      <c r="BG16" s="548">
        <f t="shared" si="33"/>
        <v>3.739967300832342E-3</v>
      </c>
      <c r="BH16" s="548">
        <f t="shared" si="34"/>
        <v>1.2774933556591855E-2</v>
      </c>
      <c r="BI16">
        <f t="shared" si="35"/>
        <v>3.48E-3</v>
      </c>
      <c r="BJ16" s="474">
        <f t="shared" si="52"/>
        <v>50.996236107588317</v>
      </c>
      <c r="BK16" s="181">
        <f t="shared" si="36"/>
        <v>1.155E-2</v>
      </c>
      <c r="BL16" s="181">
        <f t="shared" si="37"/>
        <v>1.155E-2</v>
      </c>
      <c r="BM16" s="548"/>
      <c r="BO16" s="474">
        <f t="shared" si="53"/>
        <v>23.099999999999998</v>
      </c>
      <c r="BP16" s="548">
        <f t="shared" si="38"/>
        <v>0</v>
      </c>
      <c r="BQ16" s="548">
        <f t="shared" si="54"/>
        <v>0</v>
      </c>
      <c r="BR16" s="548">
        <f t="shared" si="39"/>
        <v>2.1232559690014729E-3</v>
      </c>
      <c r="BS16" s="548">
        <f t="shared" si="40"/>
        <v>4.8171941961458881E-3</v>
      </c>
      <c r="BT16" s="658">
        <f t="shared" si="41"/>
        <v>3.4063622175980982E-2</v>
      </c>
      <c r="BU16" s="474">
        <f t="shared" si="55"/>
        <v>41.004072341128342</v>
      </c>
      <c r="BV16" s="181">
        <f t="shared" si="56"/>
        <v>0.11510030844871666</v>
      </c>
      <c r="BW16" s="6">
        <f t="shared" si="57"/>
        <v>0.75900000000000001</v>
      </c>
      <c r="BX16" s="181">
        <f t="shared" si="58"/>
        <v>0.86832139591280144</v>
      </c>
      <c r="BY16" s="6">
        <f t="shared" si="59"/>
        <v>86.832139591280139</v>
      </c>
      <c r="BZ16">
        <f t="shared" si="60"/>
        <v>11.000000000000002</v>
      </c>
      <c r="CB16" s="583">
        <f t="shared" si="42"/>
        <v>-50</v>
      </c>
      <c r="CC16">
        <f t="shared" si="43"/>
        <v>-50</v>
      </c>
    </row>
    <row r="17" spans="5:81" x14ac:dyDescent="0.2">
      <c r="E17" s="178">
        <v>12</v>
      </c>
      <c r="F17" s="225">
        <f t="shared" si="61"/>
        <v>3.5999999999999997E-2</v>
      </c>
      <c r="G17" s="225">
        <f t="shared" si="44"/>
        <v>3.5999999999999997E-2</v>
      </c>
      <c r="H17" s="225">
        <f t="shared" si="0"/>
        <v>0.53999999999999992</v>
      </c>
      <c r="I17" s="225">
        <f t="shared" si="62"/>
        <v>0.28799999999999998</v>
      </c>
      <c r="J17" s="561">
        <f t="shared" si="1"/>
        <v>12</v>
      </c>
      <c r="K17" s="456">
        <f t="shared" si="2"/>
        <v>15.25</v>
      </c>
      <c r="L17" s="456">
        <f t="shared" si="3"/>
        <v>27.25</v>
      </c>
      <c r="M17" s="456"/>
      <c r="N17" s="225">
        <f t="shared" si="4"/>
        <v>0.55963302752293576</v>
      </c>
      <c r="O17" s="180">
        <f t="shared" si="45"/>
        <v>2.8577782209812521</v>
      </c>
      <c r="P17" s="180">
        <f t="shared" si="5"/>
        <v>2.3370275229357795</v>
      </c>
      <c r="Q17" s="225">
        <f t="shared" si="6"/>
        <v>0.19051854806541682</v>
      </c>
      <c r="R17" s="225">
        <f t="shared" si="7"/>
        <v>0.35722227762265651</v>
      </c>
      <c r="S17" s="456">
        <f t="shared" si="8"/>
        <v>15</v>
      </c>
      <c r="T17" s="225">
        <f t="shared" si="9"/>
        <v>0.27398907103825132</v>
      </c>
      <c r="U17" s="225">
        <f t="shared" si="10"/>
        <v>0.91329690346083781</v>
      </c>
      <c r="V17" s="225">
        <f t="shared" si="11"/>
        <v>0.71865985846098712</v>
      </c>
      <c r="W17" s="205">
        <f t="shared" si="12"/>
        <v>350</v>
      </c>
      <c r="X17" s="456">
        <f t="shared" si="46"/>
        <v>350</v>
      </c>
      <c r="Z17" s="225">
        <f t="shared" si="13"/>
        <v>0.47968545216251629</v>
      </c>
      <c r="AA17" s="181">
        <f t="shared" si="14"/>
        <v>1.258191349934469</v>
      </c>
      <c r="AB17" s="181">
        <f t="shared" si="15"/>
        <v>0.10561881515504945</v>
      </c>
      <c r="AC17" s="181"/>
      <c r="AD17" s="181">
        <f t="shared" si="16"/>
        <v>0.76065573770491812</v>
      </c>
      <c r="AE17" s="565">
        <f t="shared" si="17"/>
        <v>326.3971462544589</v>
      </c>
      <c r="AF17" s="548">
        <f t="shared" si="18"/>
        <v>3.8603278688524589E-2</v>
      </c>
      <c r="AH17" s="181">
        <f t="shared" si="19"/>
        <v>0.34392690253266645</v>
      </c>
      <c r="AI17" s="181">
        <f t="shared" si="20"/>
        <v>0.34392690253266645</v>
      </c>
      <c r="AJ17" s="181">
        <f t="shared" si="21"/>
        <v>1.186512655002548</v>
      </c>
      <c r="AL17" s="565">
        <f t="shared" si="22"/>
        <v>36</v>
      </c>
      <c r="AM17" s="474">
        <f t="shared" si="23"/>
        <v>326.3971462544589</v>
      </c>
      <c r="AO17">
        <f t="shared" si="47"/>
        <v>36</v>
      </c>
      <c r="AP17" s="474">
        <f t="shared" si="24"/>
        <v>326.3971462544589</v>
      </c>
      <c r="AQ17" s="474"/>
      <c r="AR17" s="6">
        <f t="shared" si="48"/>
        <v>3.063752276867032</v>
      </c>
      <c r="AS17" s="6">
        <f t="shared" si="25"/>
        <v>1.1464230084422216</v>
      </c>
      <c r="AT17" s="6">
        <f t="shared" si="49"/>
        <v>1.9173292684248104</v>
      </c>
      <c r="AU17" s="181">
        <f t="shared" si="50"/>
        <v>0.37418919835599251</v>
      </c>
      <c r="AW17" s="6">
        <f t="shared" si="26"/>
        <v>0.27514152202613318</v>
      </c>
      <c r="AX17" s="6">
        <f t="shared" si="27"/>
        <v>0.51589035379899961</v>
      </c>
      <c r="AY17" s="6">
        <f t="shared" si="28"/>
        <v>0.15977743903540081</v>
      </c>
      <c r="AZ17" s="6"/>
      <c r="BA17" s="181">
        <f t="shared" si="51"/>
        <v>0.12146499716041295</v>
      </c>
      <c r="BB17" s="181">
        <f t="shared" si="29"/>
        <v>0.15708222653563414</v>
      </c>
      <c r="BC17" s="181">
        <f t="shared" si="30"/>
        <v>0.1548608617159383</v>
      </c>
      <c r="BD17" s="181"/>
      <c r="BE17" s="548">
        <f t="shared" si="31"/>
        <v>5.1638109373126941E-3</v>
      </c>
      <c r="BF17" s="548">
        <f t="shared" si="32"/>
        <v>3.0589966965602396E-2</v>
      </c>
      <c r="BG17" s="548">
        <f t="shared" si="33"/>
        <v>4.0799643281807354E-3</v>
      </c>
      <c r="BH17" s="548">
        <f t="shared" si="34"/>
        <v>1.3936291152645656E-2</v>
      </c>
      <c r="BI17">
        <f t="shared" si="35"/>
        <v>3.48E-3</v>
      </c>
      <c r="BJ17" s="474">
        <f t="shared" si="52"/>
        <v>57.250033383741481</v>
      </c>
      <c r="BK17" s="181">
        <f t="shared" si="36"/>
        <v>1.2599999999999998E-2</v>
      </c>
      <c r="BL17" s="181">
        <f t="shared" si="37"/>
        <v>1.2599999999999998E-2</v>
      </c>
      <c r="BM17" s="548"/>
      <c r="BO17" s="474">
        <f t="shared" si="53"/>
        <v>25.199999999999996</v>
      </c>
      <c r="BP17" s="548">
        <f t="shared" si="38"/>
        <v>0</v>
      </c>
      <c r="BQ17" s="548">
        <f t="shared" si="54"/>
        <v>0</v>
      </c>
      <c r="BR17" s="548">
        <f t="shared" si="39"/>
        <v>2.1583697842262667E-3</v>
      </c>
      <c r="BS17" s="548">
        <f t="shared" si="40"/>
        <v>6.6757683434544943E-3</v>
      </c>
      <c r="BT17" s="658">
        <f t="shared" si="41"/>
        <v>4.0538525564803786E-2</v>
      </c>
      <c r="BU17" s="474">
        <f t="shared" si="55"/>
        <v>49.372663692484544</v>
      </c>
      <c r="BV17" s="181">
        <f t="shared" si="56"/>
        <v>0.13182269707622601</v>
      </c>
      <c r="BW17" s="6">
        <f t="shared" si="57"/>
        <v>0.82799999999999985</v>
      </c>
      <c r="BX17" s="181">
        <f t="shared" si="58"/>
        <v>0.8626593250214033</v>
      </c>
      <c r="BY17" s="6">
        <f t="shared" si="59"/>
        <v>86.26593250214033</v>
      </c>
      <c r="BZ17">
        <f t="shared" si="60"/>
        <v>12</v>
      </c>
      <c r="CB17" s="583">
        <f t="shared" si="42"/>
        <v>-50</v>
      </c>
      <c r="CC17">
        <f t="shared" si="43"/>
        <v>-50</v>
      </c>
    </row>
    <row r="18" spans="5:81" x14ac:dyDescent="0.2">
      <c r="E18" s="178">
        <v>13</v>
      </c>
      <c r="F18" s="225">
        <f t="shared" si="61"/>
        <v>3.9E-2</v>
      </c>
      <c r="G18" s="225">
        <f t="shared" si="44"/>
        <v>3.9E-2</v>
      </c>
      <c r="H18" s="225">
        <f t="shared" si="0"/>
        <v>0.58499999999999996</v>
      </c>
      <c r="I18" s="225">
        <f t="shared" si="62"/>
        <v>0.312</v>
      </c>
      <c r="J18" s="561">
        <f t="shared" si="1"/>
        <v>12</v>
      </c>
      <c r="K18" s="456">
        <f t="shared" si="2"/>
        <v>15.25</v>
      </c>
      <c r="L18" s="456">
        <f t="shared" si="3"/>
        <v>27.25</v>
      </c>
      <c r="M18" s="456"/>
      <c r="N18" s="225">
        <f t="shared" si="4"/>
        <v>0.55963302752293576</v>
      </c>
      <c r="O18" s="180">
        <f t="shared" si="45"/>
        <v>2.8577782209812521</v>
      </c>
      <c r="P18" s="180">
        <f t="shared" si="5"/>
        <v>2.3370275229357795</v>
      </c>
      <c r="Q18" s="225">
        <f t="shared" si="6"/>
        <v>0.19051854806541682</v>
      </c>
      <c r="R18" s="225">
        <f t="shared" si="7"/>
        <v>0.35722227762265651</v>
      </c>
      <c r="S18" s="456">
        <f t="shared" si="8"/>
        <v>15</v>
      </c>
      <c r="T18" s="225">
        <f t="shared" si="9"/>
        <v>0.29682149362477228</v>
      </c>
      <c r="U18" s="225">
        <f t="shared" si="10"/>
        <v>0.98940497874924094</v>
      </c>
      <c r="V18" s="225">
        <f t="shared" si="11"/>
        <v>0.77854817999940273</v>
      </c>
      <c r="W18" s="205">
        <f t="shared" si="12"/>
        <v>350</v>
      </c>
      <c r="X18" s="456">
        <f t="shared" si="46"/>
        <v>350</v>
      </c>
      <c r="Z18" s="225">
        <f t="shared" si="13"/>
        <v>0.47968545216251629</v>
      </c>
      <c r="AA18" s="181">
        <f t="shared" si="14"/>
        <v>1.258191349934469</v>
      </c>
      <c r="AB18" s="181">
        <f t="shared" si="15"/>
        <v>0.10561881515504945</v>
      </c>
      <c r="AC18" s="181"/>
      <c r="AD18" s="181">
        <f t="shared" si="16"/>
        <v>0.76065573770491812</v>
      </c>
      <c r="AE18" s="565">
        <f t="shared" si="17"/>
        <v>353.59690844233057</v>
      </c>
      <c r="AF18" s="548">
        <f t="shared" si="18"/>
        <v>3.8603278688524589E-2</v>
      </c>
      <c r="AH18" s="181">
        <f t="shared" si="19"/>
        <v>0.35797046965197721</v>
      </c>
      <c r="AI18" s="181">
        <f t="shared" si="20"/>
        <v>0.35797046965197721</v>
      </c>
      <c r="AJ18" s="181">
        <f t="shared" si="21"/>
        <v>1.2503484960385016</v>
      </c>
      <c r="AL18" s="565">
        <f t="shared" si="22"/>
        <v>39</v>
      </c>
      <c r="AM18" s="474">
        <f t="shared" si="23"/>
        <v>350</v>
      </c>
      <c r="AO18">
        <f t="shared" si="47"/>
        <v>39</v>
      </c>
      <c r="AP18" s="474">
        <f t="shared" si="24"/>
        <v>350</v>
      </c>
      <c r="AQ18" s="474"/>
      <c r="AR18" s="6">
        <f t="shared" si="48"/>
        <v>2.8571428571428572</v>
      </c>
      <c r="AS18" s="6">
        <f t="shared" si="25"/>
        <v>1.193234898839924</v>
      </c>
      <c r="AT18" s="6">
        <f t="shared" si="49"/>
        <v>1.6639079583029333</v>
      </c>
      <c r="AU18" s="181">
        <f t="shared" si="50"/>
        <v>0.41763221459397337</v>
      </c>
      <c r="AW18" s="6">
        <f t="shared" si="26"/>
        <v>0.31024107369838017</v>
      </c>
      <c r="AX18" s="6">
        <f t="shared" si="27"/>
        <v>0.58170201318446291</v>
      </c>
      <c r="AY18" s="6">
        <f t="shared" si="28"/>
        <v>0.15021391290234812</v>
      </c>
      <c r="AZ18" s="6"/>
      <c r="BA18" s="181">
        <f t="shared" si="51"/>
        <v>0.13356220175505068</v>
      </c>
      <c r="BB18" s="181">
        <f t="shared" si="29"/>
        <v>0.15771944704642116</v>
      </c>
      <c r="BC18" s="181">
        <f t="shared" si="30"/>
        <v>0.15548907102758289</v>
      </c>
      <c r="BD18" s="181"/>
      <c r="BE18" s="548">
        <f t="shared" si="31"/>
        <v>6.2436016081799019E-3</v>
      </c>
      <c r="BF18" s="548">
        <f t="shared" si="32"/>
        <v>3.4141433543057334E-2</v>
      </c>
      <c r="BG18" s="548">
        <f t="shared" si="33"/>
        <v>4.3749999999999995E-3</v>
      </c>
      <c r="BH18" s="548">
        <f t="shared" si="34"/>
        <v>1.49440703125E-2</v>
      </c>
      <c r="BI18">
        <f t="shared" si="35"/>
        <v>3.48E-3</v>
      </c>
      <c r="BJ18" s="474">
        <f t="shared" si="52"/>
        <v>63.184105463737232</v>
      </c>
      <c r="BK18" s="181">
        <f t="shared" si="36"/>
        <v>1.3649999999999999E-2</v>
      </c>
      <c r="BL18" s="181">
        <f t="shared" si="37"/>
        <v>1.3649999999999999E-2</v>
      </c>
      <c r="BM18" s="548"/>
      <c r="BO18" s="474">
        <f t="shared" si="53"/>
        <v>27.299999999999997</v>
      </c>
      <c r="BP18" s="548">
        <f t="shared" si="38"/>
        <v>0</v>
      </c>
      <c r="BQ18" s="548">
        <f t="shared" si="54"/>
        <v>0</v>
      </c>
      <c r="BR18" s="548">
        <f t="shared" si="39"/>
        <v>2.1759166088118646E-3</v>
      </c>
      <c r="BS18" s="548">
        <f t="shared" si="40"/>
        <v>8.7853308015388848E-3</v>
      </c>
      <c r="BT18" s="658">
        <f t="shared" si="41"/>
        <v>4.7092500000000009E-2</v>
      </c>
      <c r="BU18" s="474">
        <f t="shared" si="55"/>
        <v>58.053747410350759</v>
      </c>
      <c r="BV18" s="181">
        <f t="shared" si="56"/>
        <v>0.14853785287408799</v>
      </c>
      <c r="BW18" s="6">
        <f t="shared" si="57"/>
        <v>0.89700000000000002</v>
      </c>
      <c r="BX18" s="181">
        <f t="shared" si="58"/>
        <v>0.85793163541064443</v>
      </c>
      <c r="BY18" s="6">
        <f t="shared" si="59"/>
        <v>85.793163541064445</v>
      </c>
      <c r="BZ18">
        <f t="shared" si="60"/>
        <v>13</v>
      </c>
      <c r="CB18" s="583">
        <f t="shared" si="42"/>
        <v>-50</v>
      </c>
      <c r="CC18">
        <f t="shared" si="43"/>
        <v>-50</v>
      </c>
    </row>
    <row r="19" spans="5:81" x14ac:dyDescent="0.2">
      <c r="E19" s="178">
        <v>14</v>
      </c>
      <c r="F19" s="225">
        <f t="shared" si="61"/>
        <v>4.2000000000000003E-2</v>
      </c>
      <c r="G19" s="225">
        <f t="shared" si="44"/>
        <v>4.2000000000000003E-2</v>
      </c>
      <c r="H19" s="225">
        <f t="shared" si="0"/>
        <v>0.63</v>
      </c>
      <c r="I19" s="225">
        <f t="shared" si="62"/>
        <v>0.33600000000000002</v>
      </c>
      <c r="J19" s="561">
        <f t="shared" si="1"/>
        <v>12</v>
      </c>
      <c r="K19" s="456">
        <f t="shared" si="2"/>
        <v>15.25</v>
      </c>
      <c r="L19" s="456">
        <f t="shared" si="3"/>
        <v>27.25</v>
      </c>
      <c r="M19" s="456"/>
      <c r="N19" s="225">
        <f t="shared" si="4"/>
        <v>0.55963302752293576</v>
      </c>
      <c r="O19" s="180">
        <f t="shared" si="45"/>
        <v>2.8577782209812521</v>
      </c>
      <c r="P19" s="180">
        <f t="shared" si="5"/>
        <v>2.3370275229357795</v>
      </c>
      <c r="Q19" s="225">
        <f t="shared" si="6"/>
        <v>0.19051854806541682</v>
      </c>
      <c r="R19" s="225">
        <f t="shared" si="7"/>
        <v>0.35722227762265651</v>
      </c>
      <c r="S19" s="456">
        <f t="shared" si="8"/>
        <v>15</v>
      </c>
      <c r="T19" s="225">
        <f t="shared" si="9"/>
        <v>0.31965391621129324</v>
      </c>
      <c r="U19" s="225">
        <f t="shared" si="10"/>
        <v>1.0655130540376443</v>
      </c>
      <c r="V19" s="225">
        <f t="shared" si="11"/>
        <v>0.83843650153781835</v>
      </c>
      <c r="W19" s="205">
        <f t="shared" si="12"/>
        <v>350</v>
      </c>
      <c r="X19" s="456">
        <f t="shared" si="46"/>
        <v>350</v>
      </c>
      <c r="Z19" s="225">
        <f t="shared" si="13"/>
        <v>0.47968545216251629</v>
      </c>
      <c r="AA19" s="181">
        <f t="shared" si="14"/>
        <v>1.258191349934469</v>
      </c>
      <c r="AB19" s="181">
        <f t="shared" si="15"/>
        <v>0.10561881515504945</v>
      </c>
      <c r="AC19" s="181"/>
      <c r="AD19" s="181">
        <f t="shared" si="16"/>
        <v>0.76065573770491812</v>
      </c>
      <c r="AE19" s="565">
        <f t="shared" si="17"/>
        <v>380.79667063020219</v>
      </c>
      <c r="AF19" s="548">
        <f t="shared" si="18"/>
        <v>3.8603278688524589E-2</v>
      </c>
      <c r="AH19" s="181">
        <f t="shared" si="19"/>
        <v>0.37148351242013417</v>
      </c>
      <c r="AI19" s="181">
        <f t="shared" si="20"/>
        <v>0.37148351242013417</v>
      </c>
      <c r="AJ19" s="181">
        <f t="shared" si="21"/>
        <v>1.2603581573482474</v>
      </c>
      <c r="AL19" s="565">
        <f t="shared" si="22"/>
        <v>42</v>
      </c>
      <c r="AM19" s="474">
        <f t="shared" si="23"/>
        <v>350</v>
      </c>
      <c r="AO19">
        <f t="shared" si="47"/>
        <v>42</v>
      </c>
      <c r="AP19" s="474">
        <f t="shared" si="24"/>
        <v>350</v>
      </c>
      <c r="AQ19" s="474"/>
      <c r="AR19" s="6">
        <f t="shared" si="48"/>
        <v>2.8571428571428572</v>
      </c>
      <c r="AS19" s="6">
        <f t="shared" si="25"/>
        <v>1.2382783747337807</v>
      </c>
      <c r="AT19" s="6">
        <f t="shared" si="49"/>
        <v>1.6188644824090765</v>
      </c>
      <c r="AU19" s="181">
        <f t="shared" si="50"/>
        <v>0.43339743115682322</v>
      </c>
      <c r="AW19" s="6">
        <f t="shared" si="26"/>
        <v>0.3467179449254586</v>
      </c>
      <c r="AX19" s="6">
        <f t="shared" si="27"/>
        <v>0.65009614673523497</v>
      </c>
      <c r="AY19" s="6">
        <f t="shared" si="28"/>
        <v>0.15738960245643796</v>
      </c>
      <c r="AZ19" s="6"/>
      <c r="BA19" s="181">
        <f t="shared" si="51"/>
        <v>0.14119589878326447</v>
      </c>
      <c r="BB19" s="181">
        <f t="shared" si="29"/>
        <v>0.16144261570844956</v>
      </c>
      <c r="BC19" s="181">
        <f t="shared" si="30"/>
        <v>0.15915958881964321</v>
      </c>
      <c r="BD19" s="181"/>
      <c r="BE19" s="548">
        <f t="shared" si="31"/>
        <v>6.9776986416248514E-3</v>
      </c>
      <c r="BF19" s="548">
        <f t="shared" si="32"/>
        <v>3.543023999707029E-2</v>
      </c>
      <c r="BG19" s="548">
        <f t="shared" si="33"/>
        <v>4.3749999999999995E-3</v>
      </c>
      <c r="BH19" s="548">
        <f t="shared" si="34"/>
        <v>1.49440703125E-2</v>
      </c>
      <c r="BI19">
        <f t="shared" si="35"/>
        <v>3.48E-3</v>
      </c>
      <c r="BJ19" s="474">
        <f t="shared" si="52"/>
        <v>65.207008951195149</v>
      </c>
      <c r="BK19" s="181">
        <f t="shared" si="36"/>
        <v>1.47E-2</v>
      </c>
      <c r="BL19" s="181">
        <f t="shared" si="37"/>
        <v>1.47E-2</v>
      </c>
      <c r="BM19" s="548"/>
      <c r="BO19" s="474">
        <f t="shared" si="53"/>
        <v>29.4</v>
      </c>
      <c r="BP19" s="548">
        <f t="shared" si="38"/>
        <v>0</v>
      </c>
      <c r="BQ19" s="548">
        <f t="shared" si="54"/>
        <v>0</v>
      </c>
      <c r="BR19" s="548">
        <f t="shared" si="39"/>
        <v>2.2798597241914104E-3</v>
      </c>
      <c r="BS19" s="548">
        <f t="shared" si="40"/>
        <v>9.6380455220509212E-3</v>
      </c>
      <c r="BT19" s="658">
        <f t="shared" si="41"/>
        <v>5.0715000000000003E-2</v>
      </c>
      <c r="BU19" s="474">
        <f t="shared" si="55"/>
        <v>62.632905246242338</v>
      </c>
      <c r="BV19" s="181">
        <f t="shared" si="56"/>
        <v>0.15723991419743749</v>
      </c>
      <c r="BW19" s="6">
        <f t="shared" si="57"/>
        <v>0.96599999999999997</v>
      </c>
      <c r="BX19" s="181">
        <f t="shared" si="58"/>
        <v>0.86001217352591464</v>
      </c>
      <c r="BY19" s="6">
        <f t="shared" si="59"/>
        <v>86.001217352591468</v>
      </c>
      <c r="BZ19">
        <f t="shared" si="60"/>
        <v>14.000000000000002</v>
      </c>
      <c r="CB19" s="583">
        <f t="shared" si="42"/>
        <v>-50</v>
      </c>
      <c r="CC19">
        <f t="shared" si="43"/>
        <v>-50</v>
      </c>
    </row>
    <row r="20" spans="5:81" x14ac:dyDescent="0.2">
      <c r="E20" s="178">
        <v>15</v>
      </c>
      <c r="F20" s="225">
        <f t="shared" si="61"/>
        <v>4.4999999999999998E-2</v>
      </c>
      <c r="G20" s="225">
        <f t="shared" si="44"/>
        <v>4.4999999999999998E-2</v>
      </c>
      <c r="H20" s="225">
        <f t="shared" si="0"/>
        <v>0.67499999999999993</v>
      </c>
      <c r="I20" s="225">
        <f t="shared" si="62"/>
        <v>0.36</v>
      </c>
      <c r="J20" s="561">
        <f t="shared" si="1"/>
        <v>12</v>
      </c>
      <c r="K20" s="456">
        <f t="shared" si="2"/>
        <v>15.25</v>
      </c>
      <c r="L20" s="456">
        <f t="shared" si="3"/>
        <v>27.25</v>
      </c>
      <c r="M20" s="456"/>
      <c r="N20" s="225">
        <f t="shared" si="4"/>
        <v>0.55963302752293576</v>
      </c>
      <c r="O20" s="180">
        <f t="shared" si="45"/>
        <v>2.8577782209812521</v>
      </c>
      <c r="P20" s="180">
        <f t="shared" si="5"/>
        <v>2.3370275229357795</v>
      </c>
      <c r="Q20" s="225">
        <f t="shared" si="6"/>
        <v>0.19051854806541682</v>
      </c>
      <c r="R20" s="225">
        <f t="shared" si="7"/>
        <v>0.35722227762265651</v>
      </c>
      <c r="S20" s="456">
        <f t="shared" si="8"/>
        <v>15</v>
      </c>
      <c r="T20" s="225">
        <f t="shared" si="9"/>
        <v>0.34248633879781415</v>
      </c>
      <c r="U20" s="225">
        <f t="shared" si="10"/>
        <v>1.1416211293260472</v>
      </c>
      <c r="V20" s="225">
        <f t="shared" si="11"/>
        <v>0.89832482307623396</v>
      </c>
      <c r="W20" s="205">
        <f t="shared" si="12"/>
        <v>350</v>
      </c>
      <c r="X20" s="456">
        <f t="shared" si="46"/>
        <v>350</v>
      </c>
      <c r="Z20" s="225">
        <f t="shared" si="13"/>
        <v>0.47968545216251629</v>
      </c>
      <c r="AA20" s="181">
        <f t="shared" si="14"/>
        <v>1.258191349934469</v>
      </c>
      <c r="AB20" s="181">
        <f t="shared" si="15"/>
        <v>0.10561881515504945</v>
      </c>
      <c r="AC20" s="181"/>
      <c r="AD20" s="181">
        <f t="shared" si="16"/>
        <v>0.76065573770491812</v>
      </c>
      <c r="AE20" s="565">
        <f t="shared" si="17"/>
        <v>407.99643281807374</v>
      </c>
      <c r="AF20" s="548">
        <f t="shared" si="18"/>
        <v>3.8603278688524589E-2</v>
      </c>
      <c r="AH20" s="181">
        <f t="shared" si="19"/>
        <v>0.3845219666769934</v>
      </c>
      <c r="AI20" s="181">
        <f t="shared" si="20"/>
        <v>0.3845219666769934</v>
      </c>
      <c r="AJ20" s="181">
        <f t="shared" si="21"/>
        <v>1.2700162716125876</v>
      </c>
      <c r="AL20" s="565">
        <f t="shared" si="22"/>
        <v>45</v>
      </c>
      <c r="AM20" s="474">
        <f t="shared" si="23"/>
        <v>350</v>
      </c>
      <c r="AO20">
        <f t="shared" si="47"/>
        <v>45</v>
      </c>
      <c r="AP20" s="474">
        <f t="shared" si="24"/>
        <v>350</v>
      </c>
      <c r="AQ20" s="474"/>
      <c r="AR20" s="6">
        <f t="shared" si="48"/>
        <v>2.8571428571428572</v>
      </c>
      <c r="AS20" s="6">
        <f t="shared" si="25"/>
        <v>1.2817398889233114</v>
      </c>
      <c r="AT20" s="6">
        <f t="shared" si="49"/>
        <v>1.5754029682195458</v>
      </c>
      <c r="AU20" s="181">
        <f t="shared" si="50"/>
        <v>0.44860896112315896</v>
      </c>
      <c r="AW20" s="6">
        <f t="shared" si="26"/>
        <v>0.38452196667699334</v>
      </c>
      <c r="AX20" s="6">
        <f t="shared" si="27"/>
        <v>0.72097868751936256</v>
      </c>
      <c r="AY20" s="6">
        <f t="shared" si="28"/>
        <v>0.16410447585620264</v>
      </c>
      <c r="AZ20" s="6"/>
      <c r="BA20" s="181">
        <f t="shared" si="51"/>
        <v>0.14869436130508484</v>
      </c>
      <c r="BB20" s="181">
        <f t="shared" si="29"/>
        <v>0.16485054201241547</v>
      </c>
      <c r="BC20" s="181">
        <f t="shared" si="30"/>
        <v>0.16251932222638132</v>
      </c>
      <c r="BD20" s="181"/>
      <c r="BE20" s="548">
        <f t="shared" si="31"/>
        <v>7.7385045793744887E-3</v>
      </c>
      <c r="BF20" s="548">
        <f t="shared" si="32"/>
        <v>3.6673782571818248E-2</v>
      </c>
      <c r="BG20" s="548">
        <f t="shared" si="33"/>
        <v>4.3749999999999995E-3</v>
      </c>
      <c r="BH20" s="548">
        <f t="shared" si="34"/>
        <v>1.49440703125E-2</v>
      </c>
      <c r="BI20">
        <f t="shared" si="35"/>
        <v>3.48E-3</v>
      </c>
      <c r="BJ20" s="474">
        <f t="shared" si="52"/>
        <v>67.211357463692721</v>
      </c>
      <c r="BK20" s="181">
        <f t="shared" si="36"/>
        <v>1.575E-2</v>
      </c>
      <c r="BL20" s="181">
        <f t="shared" si="37"/>
        <v>1.575E-2</v>
      </c>
      <c r="BM20" s="548"/>
      <c r="BO20" s="474">
        <f t="shared" si="53"/>
        <v>31.5</v>
      </c>
      <c r="BP20" s="548">
        <f t="shared" si="38"/>
        <v>0</v>
      </c>
      <c r="BQ20" s="548">
        <f t="shared" si="54"/>
        <v>0</v>
      </c>
      <c r="BR20" s="548">
        <f t="shared" si="39"/>
        <v>2.3771277087230127E-3</v>
      </c>
      <c r="BS20" s="548">
        <f t="shared" si="40"/>
        <v>1.0506135614616439E-2</v>
      </c>
      <c r="BT20" s="658">
        <f t="shared" si="41"/>
        <v>5.4337499999999997E-2</v>
      </c>
      <c r="BU20" s="474">
        <f t="shared" si="55"/>
        <v>67.220763323339455</v>
      </c>
      <c r="BV20" s="181">
        <f t="shared" si="56"/>
        <v>0.16593212078703218</v>
      </c>
      <c r="BW20" s="6">
        <f t="shared" si="57"/>
        <v>1.0349999999999999</v>
      </c>
      <c r="BX20" s="181">
        <f t="shared" si="58"/>
        <v>0.861830558184847</v>
      </c>
      <c r="BY20" s="6">
        <f t="shared" si="59"/>
        <v>86.183055818484704</v>
      </c>
      <c r="BZ20">
        <f t="shared" si="60"/>
        <v>15</v>
      </c>
      <c r="CB20" s="583">
        <f t="shared" si="42"/>
        <v>-50</v>
      </c>
      <c r="CC20">
        <f t="shared" si="43"/>
        <v>-50</v>
      </c>
    </row>
    <row r="21" spans="5:81" s="78" customFormat="1" x14ac:dyDescent="0.2">
      <c r="E21" s="197">
        <v>16</v>
      </c>
      <c r="F21" s="337">
        <f t="shared" si="61"/>
        <v>4.8000000000000001E-2</v>
      </c>
      <c r="G21" s="225">
        <f t="shared" si="44"/>
        <v>4.8000000000000001E-2</v>
      </c>
      <c r="H21" s="225">
        <f t="shared" si="0"/>
        <v>0.72</v>
      </c>
      <c r="I21" s="225">
        <f t="shared" si="62"/>
        <v>0.38400000000000001</v>
      </c>
      <c r="J21" s="561">
        <f t="shared" si="1"/>
        <v>12</v>
      </c>
      <c r="K21" s="456">
        <f t="shared" si="2"/>
        <v>15.25</v>
      </c>
      <c r="L21" s="555">
        <f t="shared" si="3"/>
        <v>27.25</v>
      </c>
      <c r="M21" s="555"/>
      <c r="N21" s="337">
        <f t="shared" si="4"/>
        <v>0.55963302752293576</v>
      </c>
      <c r="O21" s="180">
        <f t="shared" si="45"/>
        <v>2.8577782209812521</v>
      </c>
      <c r="P21" s="180">
        <f t="shared" si="5"/>
        <v>2.3370275229357795</v>
      </c>
      <c r="Q21" s="337">
        <f t="shared" si="6"/>
        <v>0.19051854806541682</v>
      </c>
      <c r="R21" s="225">
        <f t="shared" si="7"/>
        <v>0.35722227762265651</v>
      </c>
      <c r="S21" s="456">
        <f t="shared" si="8"/>
        <v>15</v>
      </c>
      <c r="T21" s="225">
        <f t="shared" si="9"/>
        <v>0.36531876138433517</v>
      </c>
      <c r="U21" s="337">
        <f t="shared" si="10"/>
        <v>1.2177292046144508</v>
      </c>
      <c r="V21" s="225">
        <f t="shared" si="11"/>
        <v>0.95821314461464968</v>
      </c>
      <c r="W21" s="557">
        <f t="shared" si="12"/>
        <v>350</v>
      </c>
      <c r="X21" s="555">
        <f t="shared" si="46"/>
        <v>350</v>
      </c>
      <c r="Z21" s="337">
        <f t="shared" si="13"/>
        <v>0.47968545216251629</v>
      </c>
      <c r="AA21" s="181">
        <f t="shared" si="14"/>
        <v>1.258191349934469</v>
      </c>
      <c r="AB21" s="181">
        <f t="shared" si="15"/>
        <v>0.10561881515504945</v>
      </c>
      <c r="AC21" s="558"/>
      <c r="AD21" s="181">
        <f t="shared" si="16"/>
        <v>0.76065573770491812</v>
      </c>
      <c r="AE21" s="565">
        <f t="shared" si="17"/>
        <v>435.1961950059453</v>
      </c>
      <c r="AF21" s="548">
        <f t="shared" si="18"/>
        <v>3.8603278688524589E-2</v>
      </c>
      <c r="AG21"/>
      <c r="AH21" s="181">
        <f t="shared" si="19"/>
        <v>0.39713257951757835</v>
      </c>
      <c r="AI21" s="181">
        <f t="shared" si="20"/>
        <v>0.39713257951757835</v>
      </c>
      <c r="AJ21" s="181">
        <f t="shared" si="21"/>
        <v>1.2793574663093172</v>
      </c>
      <c r="AL21" s="565">
        <f t="shared" si="22"/>
        <v>48</v>
      </c>
      <c r="AM21" s="474">
        <f t="shared" si="23"/>
        <v>350</v>
      </c>
      <c r="AO21">
        <f t="shared" si="47"/>
        <v>48</v>
      </c>
      <c r="AP21" s="474">
        <f t="shared" si="24"/>
        <v>350</v>
      </c>
      <c r="AQ21" s="474"/>
      <c r="AR21" s="6">
        <f t="shared" si="48"/>
        <v>2.8571428571428572</v>
      </c>
      <c r="AS21" s="6">
        <f t="shared" si="25"/>
        <v>1.3237752650585946</v>
      </c>
      <c r="AT21" s="6">
        <f t="shared" si="49"/>
        <v>1.5333675920842627</v>
      </c>
      <c r="AU21" s="181">
        <f t="shared" si="50"/>
        <v>0.46332134277050807</v>
      </c>
      <c r="AW21" s="6">
        <f t="shared" si="26"/>
        <v>0.42360808481875029</v>
      </c>
      <c r="AX21" s="6">
        <f t="shared" si="27"/>
        <v>0.79426515903515682</v>
      </c>
      <c r="AY21" s="6">
        <f t="shared" si="28"/>
        <v>0.17037417689825138</v>
      </c>
      <c r="AZ21" s="6"/>
      <c r="BA21" s="181">
        <f t="shared" si="51"/>
        <v>0.15606878251936912</v>
      </c>
      <c r="BB21" s="181">
        <f t="shared" si="29"/>
        <v>0.16797012738683753</v>
      </c>
      <c r="BC21" s="181">
        <f t="shared" si="30"/>
        <v>0.16559479225207416</v>
      </c>
      <c r="BD21" s="181"/>
      <c r="BE21" s="548">
        <f t="shared" si="31"/>
        <v>8.5251127069773461E-3</v>
      </c>
      <c r="BF21" s="548">
        <f t="shared" si="32"/>
        <v>3.7876519771489037E-2</v>
      </c>
      <c r="BG21" s="548">
        <f t="shared" si="33"/>
        <v>4.3749999999999995E-3</v>
      </c>
      <c r="BH21" s="548">
        <f t="shared" si="34"/>
        <v>1.49440703125E-2</v>
      </c>
      <c r="BI21">
        <f t="shared" si="35"/>
        <v>3.48E-3</v>
      </c>
      <c r="BJ21" s="474">
        <f t="shared" si="52"/>
        <v>69.200702790966375</v>
      </c>
      <c r="BK21" s="181">
        <f t="shared" si="36"/>
        <v>1.6799999999999999E-2</v>
      </c>
      <c r="BL21" s="181">
        <f t="shared" si="37"/>
        <v>1.6799999999999999E-2</v>
      </c>
      <c r="BM21" s="548"/>
      <c r="BO21" s="474">
        <f t="shared" si="53"/>
        <v>33.6</v>
      </c>
      <c r="BP21" s="548">
        <f t="shared" si="38"/>
        <v>0</v>
      </c>
      <c r="BQ21" s="548">
        <f t="shared" si="54"/>
        <v>0</v>
      </c>
      <c r="BR21" s="548">
        <f t="shared" si="39"/>
        <v>2.4679471698906838E-3</v>
      </c>
      <c r="BS21" s="548">
        <f t="shared" si="40"/>
        <v>1.1388824666325601E-2</v>
      </c>
      <c r="BT21" s="658">
        <f t="shared" si="41"/>
        <v>5.7959999999999998E-2</v>
      </c>
      <c r="BU21" s="474">
        <f t="shared" si="55"/>
        <v>71.816771836216276</v>
      </c>
      <c r="BV21" s="181">
        <f t="shared" si="56"/>
        <v>0.17461747462718263</v>
      </c>
      <c r="BW21" s="6">
        <f t="shared" si="57"/>
        <v>1.1040000000000001</v>
      </c>
      <c r="BX21" s="181">
        <f t="shared" si="58"/>
        <v>0.86343259177018727</v>
      </c>
      <c r="BY21" s="6">
        <f t="shared" si="59"/>
        <v>86.343259177018723</v>
      </c>
      <c r="BZ21">
        <f t="shared" si="60"/>
        <v>16</v>
      </c>
      <c r="CB21" s="583">
        <f t="shared" si="42"/>
        <v>-50</v>
      </c>
      <c r="CC21">
        <f t="shared" si="43"/>
        <v>-50</v>
      </c>
    </row>
    <row r="22" spans="5:81" x14ac:dyDescent="0.2">
      <c r="E22" s="178">
        <v>17</v>
      </c>
      <c r="F22" s="225">
        <f t="shared" si="61"/>
        <v>5.1000000000000004E-2</v>
      </c>
      <c r="G22" s="225">
        <f t="shared" si="44"/>
        <v>5.1000000000000004E-2</v>
      </c>
      <c r="H22" s="225">
        <f t="shared" si="0"/>
        <v>0.76500000000000001</v>
      </c>
      <c r="I22" s="225">
        <f t="shared" si="62"/>
        <v>0.40800000000000003</v>
      </c>
      <c r="J22" s="561">
        <f t="shared" si="1"/>
        <v>12</v>
      </c>
      <c r="K22" s="456">
        <f t="shared" si="2"/>
        <v>15.25</v>
      </c>
      <c r="L22" s="456">
        <f t="shared" si="3"/>
        <v>27.25</v>
      </c>
      <c r="M22" s="456"/>
      <c r="N22" s="225">
        <f t="shared" si="4"/>
        <v>0.55963302752293576</v>
      </c>
      <c r="O22" s="180">
        <f t="shared" si="45"/>
        <v>2.8577782209812521</v>
      </c>
      <c r="P22" s="180">
        <f t="shared" si="5"/>
        <v>2.3370275229357795</v>
      </c>
      <c r="Q22" s="225">
        <f t="shared" si="6"/>
        <v>0.19051854806541682</v>
      </c>
      <c r="R22" s="225">
        <f t="shared" si="7"/>
        <v>0.35722227762265651</v>
      </c>
      <c r="S22" s="456">
        <f t="shared" si="8"/>
        <v>15</v>
      </c>
      <c r="T22" s="225">
        <f t="shared" si="9"/>
        <v>0.38815118397085607</v>
      </c>
      <c r="U22" s="225">
        <f t="shared" si="10"/>
        <v>1.2938372799028537</v>
      </c>
      <c r="V22" s="225">
        <f t="shared" si="11"/>
        <v>1.0181014661530652</v>
      </c>
      <c r="W22" s="205">
        <f t="shared" si="12"/>
        <v>350</v>
      </c>
      <c r="X22" s="456">
        <f t="shared" si="46"/>
        <v>350</v>
      </c>
      <c r="Z22" s="225">
        <f t="shared" si="13"/>
        <v>0.47968545216251629</v>
      </c>
      <c r="AA22" s="181">
        <f t="shared" si="14"/>
        <v>1.258191349934469</v>
      </c>
      <c r="AB22" s="181">
        <f t="shared" si="15"/>
        <v>0.10561881515504945</v>
      </c>
      <c r="AC22" s="181"/>
      <c r="AD22" s="181">
        <f t="shared" si="16"/>
        <v>0.76065573770491812</v>
      </c>
      <c r="AE22" s="565">
        <f t="shared" si="17"/>
        <v>462.39595719381691</v>
      </c>
      <c r="AF22" s="548">
        <f t="shared" si="18"/>
        <v>3.8603278688524589E-2</v>
      </c>
      <c r="AH22" s="181">
        <f t="shared" si="19"/>
        <v>0.40935489318124507</v>
      </c>
      <c r="AI22" s="181">
        <f t="shared" si="20"/>
        <v>0.40935489318124507</v>
      </c>
      <c r="AJ22" s="181">
        <f t="shared" si="21"/>
        <v>1.2884110319861075</v>
      </c>
      <c r="AL22" s="565">
        <f t="shared" si="22"/>
        <v>51.000000000000007</v>
      </c>
      <c r="AM22" s="474">
        <f t="shared" si="23"/>
        <v>350</v>
      </c>
      <c r="AO22">
        <f t="shared" si="47"/>
        <v>51.000000000000007</v>
      </c>
      <c r="AP22" s="474">
        <f t="shared" si="24"/>
        <v>350</v>
      </c>
      <c r="AQ22" s="474"/>
      <c r="AR22" s="6">
        <f t="shared" si="48"/>
        <v>2.8571428571428572</v>
      </c>
      <c r="AS22" s="6">
        <f t="shared" si="25"/>
        <v>1.3645163106041502</v>
      </c>
      <c r="AT22" s="6">
        <f t="shared" si="49"/>
        <v>1.492626546538707</v>
      </c>
      <c r="AU22" s="181">
        <f t="shared" si="50"/>
        <v>0.47758070871145258</v>
      </c>
      <c r="AW22" s="6">
        <f t="shared" si="26"/>
        <v>0.46393554560541106</v>
      </c>
      <c r="AX22" s="6">
        <f t="shared" si="27"/>
        <v>0.86987914801014576</v>
      </c>
      <c r="AY22" s="6">
        <f t="shared" si="28"/>
        <v>0.17621285618859733</v>
      </c>
      <c r="AZ22" s="6"/>
      <c r="BA22" s="181">
        <f t="shared" si="51"/>
        <v>0.16332879070240841</v>
      </c>
      <c r="BB22" s="181">
        <f t="shared" si="29"/>
        <v>0.17082402929573967</v>
      </c>
      <c r="BC22" s="181">
        <f t="shared" si="30"/>
        <v>0.16840833595216353</v>
      </c>
      <c r="BD22" s="181"/>
      <c r="BE22" s="548">
        <f t="shared" si="31"/>
        <v>9.3367028553088954E-3</v>
      </c>
      <c r="BF22" s="548">
        <f t="shared" si="32"/>
        <v>3.9042222937161253E-2</v>
      </c>
      <c r="BG22" s="548">
        <f t="shared" si="33"/>
        <v>4.3749999999999995E-3</v>
      </c>
      <c r="BH22" s="548">
        <f t="shared" si="34"/>
        <v>1.49440703125E-2</v>
      </c>
      <c r="BI22">
        <f t="shared" si="35"/>
        <v>3.48E-3</v>
      </c>
      <c r="BJ22" s="474">
        <f t="shared" si="52"/>
        <v>71.177996104970134</v>
      </c>
      <c r="BK22" s="181">
        <f t="shared" si="36"/>
        <v>1.7850000000000001E-2</v>
      </c>
      <c r="BL22" s="181">
        <f t="shared" si="37"/>
        <v>1.7850000000000001E-2</v>
      </c>
      <c r="BM22" s="548"/>
      <c r="BO22" s="474">
        <f t="shared" si="53"/>
        <v>35.700000000000003</v>
      </c>
      <c r="BP22" s="548">
        <f t="shared" si="38"/>
        <v>0</v>
      </c>
      <c r="BQ22" s="548">
        <f t="shared" si="54"/>
        <v>0</v>
      </c>
      <c r="BR22" s="548">
        <f t="shared" si="39"/>
        <v>2.5525230856359095E-3</v>
      </c>
      <c r="BS22" s="548">
        <f t="shared" si="40"/>
        <v>1.2285422039620896E-2</v>
      </c>
      <c r="BT22" s="658">
        <f t="shared" si="41"/>
        <v>6.1582500000000005E-2</v>
      </c>
      <c r="BU22" s="474">
        <f t="shared" si="55"/>
        <v>76.420445125256805</v>
      </c>
      <c r="BV22" s="181">
        <f t="shared" si="56"/>
        <v>0.18329844123022696</v>
      </c>
      <c r="BW22" s="6">
        <f t="shared" si="57"/>
        <v>1.173</v>
      </c>
      <c r="BX22" s="181">
        <f t="shared" si="58"/>
        <v>0.86485390260865702</v>
      </c>
      <c r="BY22" s="6">
        <f t="shared" si="59"/>
        <v>86.485390260865699</v>
      </c>
      <c r="BZ22">
        <f t="shared" si="60"/>
        <v>17</v>
      </c>
      <c r="CB22" s="583">
        <f t="shared" si="42"/>
        <v>-50</v>
      </c>
      <c r="CC22">
        <f t="shared" si="43"/>
        <v>-50</v>
      </c>
    </row>
    <row r="23" spans="5:81" x14ac:dyDescent="0.2">
      <c r="E23" s="178">
        <v>18</v>
      </c>
      <c r="F23" s="225">
        <f t="shared" si="61"/>
        <v>5.3999999999999999E-2</v>
      </c>
      <c r="G23" s="225">
        <f t="shared" si="44"/>
        <v>5.3999999999999999E-2</v>
      </c>
      <c r="H23" s="225">
        <f t="shared" si="0"/>
        <v>0.80999999999999994</v>
      </c>
      <c r="I23" s="225">
        <f t="shared" si="62"/>
        <v>0.432</v>
      </c>
      <c r="J23" s="561">
        <f t="shared" si="1"/>
        <v>12</v>
      </c>
      <c r="K23" s="456">
        <f t="shared" si="2"/>
        <v>15.25</v>
      </c>
      <c r="L23" s="456">
        <f t="shared" si="3"/>
        <v>27.25</v>
      </c>
      <c r="M23" s="456"/>
      <c r="N23" s="225">
        <f t="shared" si="4"/>
        <v>0.55963302752293576</v>
      </c>
      <c r="O23" s="180">
        <f t="shared" si="45"/>
        <v>2.8577782209812521</v>
      </c>
      <c r="P23" s="180">
        <f t="shared" si="5"/>
        <v>2.3370275229357795</v>
      </c>
      <c r="Q23" s="225">
        <f t="shared" si="6"/>
        <v>0.19051854806541682</v>
      </c>
      <c r="R23" s="225">
        <f t="shared" si="7"/>
        <v>0.35722227762265651</v>
      </c>
      <c r="S23" s="456">
        <f t="shared" si="8"/>
        <v>15</v>
      </c>
      <c r="T23" s="225">
        <f t="shared" si="9"/>
        <v>0.41098360655737703</v>
      </c>
      <c r="U23" s="225">
        <f t="shared" si="10"/>
        <v>1.369945355191257</v>
      </c>
      <c r="V23" s="225">
        <f t="shared" si="11"/>
        <v>1.0779897876914808</v>
      </c>
      <c r="W23" s="205">
        <f t="shared" si="12"/>
        <v>350</v>
      </c>
      <c r="X23" s="456">
        <f t="shared" si="46"/>
        <v>350</v>
      </c>
      <c r="Z23" s="225">
        <f t="shared" si="13"/>
        <v>0.47968545216251629</v>
      </c>
      <c r="AA23" s="181">
        <f t="shared" si="14"/>
        <v>1.258191349934469</v>
      </c>
      <c r="AB23" s="181">
        <f t="shared" si="15"/>
        <v>0.10561881515504945</v>
      </c>
      <c r="AC23" s="181"/>
      <c r="AD23" s="181">
        <f t="shared" si="16"/>
        <v>0.76065573770491812</v>
      </c>
      <c r="AE23" s="565">
        <f t="shared" si="17"/>
        <v>489.59571938168847</v>
      </c>
      <c r="AF23" s="548">
        <f t="shared" si="18"/>
        <v>3.8603278688524589E-2</v>
      </c>
      <c r="AH23" s="181">
        <f t="shared" si="19"/>
        <v>0.42122271001047817</v>
      </c>
      <c r="AI23" s="181">
        <f t="shared" si="20"/>
        <v>0.42122271001047817</v>
      </c>
      <c r="AJ23" s="181">
        <f t="shared" si="21"/>
        <v>1.2972020074151689</v>
      </c>
      <c r="AL23" s="565">
        <f t="shared" si="22"/>
        <v>54</v>
      </c>
      <c r="AM23" s="474">
        <f t="shared" si="23"/>
        <v>350</v>
      </c>
      <c r="AO23">
        <f t="shared" si="47"/>
        <v>54</v>
      </c>
      <c r="AP23" s="474">
        <f t="shared" si="24"/>
        <v>350</v>
      </c>
      <c r="AQ23" s="474"/>
      <c r="AR23" s="6">
        <f t="shared" si="48"/>
        <v>2.8571428571428572</v>
      </c>
      <c r="AS23" s="6">
        <f t="shared" si="25"/>
        <v>1.4040757000349273</v>
      </c>
      <c r="AT23" s="6">
        <f t="shared" si="49"/>
        <v>1.4530671571079299</v>
      </c>
      <c r="AU23" s="181">
        <f t="shared" si="50"/>
        <v>0.49142649501222457</v>
      </c>
      <c r="AW23" s="6">
        <f t="shared" si="26"/>
        <v>0.50546725201257392</v>
      </c>
      <c r="AX23" s="6">
        <f t="shared" si="27"/>
        <v>0.947751097523576</v>
      </c>
      <c r="AY23" s="6">
        <f t="shared" si="28"/>
        <v>0.18163339463849121</v>
      </c>
      <c r="AZ23" s="6"/>
      <c r="BA23" s="181">
        <f t="shared" si="51"/>
        <v>0.17048274690045029</v>
      </c>
      <c r="BB23" s="181">
        <f t="shared" si="29"/>
        <v>0.17343151429925918</v>
      </c>
      <c r="BC23" s="181">
        <f t="shared" si="30"/>
        <v>0.17097894743038075</v>
      </c>
      <c r="BD23" s="181"/>
      <c r="BE23" s="548">
        <f t="shared" si="31"/>
        <v>1.0172528446753046E-2</v>
      </c>
      <c r="BF23" s="548">
        <f t="shared" si="32"/>
        <v>4.017411596724936E-2</v>
      </c>
      <c r="BG23" s="548">
        <f t="shared" si="33"/>
        <v>4.3749999999999995E-3</v>
      </c>
      <c r="BH23" s="548">
        <f t="shared" si="34"/>
        <v>1.49440703125E-2</v>
      </c>
      <c r="BI23">
        <f t="shared" si="35"/>
        <v>3.48E-3</v>
      </c>
      <c r="BJ23" s="474">
        <f t="shared" si="52"/>
        <v>73.145714726502405</v>
      </c>
      <c r="BK23" s="181">
        <f t="shared" si="36"/>
        <v>1.89E-2</v>
      </c>
      <c r="BL23" s="181">
        <f t="shared" si="37"/>
        <v>1.89E-2</v>
      </c>
      <c r="BM23" s="548"/>
      <c r="BO23" s="474">
        <f t="shared" si="53"/>
        <v>37.799999999999997</v>
      </c>
      <c r="BP23" s="548">
        <f t="shared" si="38"/>
        <v>0</v>
      </c>
      <c r="BQ23" s="548">
        <f t="shared" si="54"/>
        <v>0</v>
      </c>
      <c r="BR23" s="548">
        <f t="shared" si="39"/>
        <v>2.6310420417960815E-3</v>
      </c>
      <c r="BS23" s="548">
        <f t="shared" si="40"/>
        <v>1.3195308856171734E-2</v>
      </c>
      <c r="BT23" s="658">
        <f t="shared" si="41"/>
        <v>6.5204999999999985E-2</v>
      </c>
      <c r="BU23" s="474">
        <f t="shared" si="55"/>
        <v>81.031350897967798</v>
      </c>
      <c r="BV23" s="181">
        <f t="shared" si="56"/>
        <v>0.1919770656244702</v>
      </c>
      <c r="BW23" s="6">
        <f t="shared" si="57"/>
        <v>1.242</v>
      </c>
      <c r="BX23" s="181">
        <f t="shared" si="58"/>
        <v>0.8661226387600085</v>
      </c>
      <c r="BY23" s="6">
        <f t="shared" si="59"/>
        <v>86.612263876000853</v>
      </c>
      <c r="BZ23">
        <f t="shared" si="60"/>
        <v>18</v>
      </c>
      <c r="CB23" s="583">
        <f t="shared" si="42"/>
        <v>-50</v>
      </c>
      <c r="CC23">
        <f t="shared" si="43"/>
        <v>-50</v>
      </c>
    </row>
    <row r="24" spans="5:81" x14ac:dyDescent="0.2">
      <c r="E24" s="178">
        <v>19</v>
      </c>
      <c r="F24" s="225">
        <f t="shared" si="61"/>
        <v>5.6999999999999995E-2</v>
      </c>
      <c r="G24" s="225">
        <f t="shared" si="44"/>
        <v>5.6999999999999995E-2</v>
      </c>
      <c r="H24" s="225">
        <f t="shared" si="0"/>
        <v>0.85499999999999998</v>
      </c>
      <c r="I24" s="225">
        <f t="shared" si="62"/>
        <v>0.45599999999999996</v>
      </c>
      <c r="J24" s="561">
        <f t="shared" si="1"/>
        <v>12</v>
      </c>
      <c r="K24" s="456">
        <f t="shared" si="2"/>
        <v>15.25</v>
      </c>
      <c r="L24" s="456">
        <f t="shared" si="3"/>
        <v>27.25</v>
      </c>
      <c r="M24" s="456"/>
      <c r="N24" s="225">
        <f t="shared" si="4"/>
        <v>0.55963302752293576</v>
      </c>
      <c r="O24" s="180">
        <f t="shared" si="45"/>
        <v>2.8577782209812521</v>
      </c>
      <c r="P24" s="180">
        <f t="shared" si="5"/>
        <v>2.3370275229357795</v>
      </c>
      <c r="Q24" s="225">
        <f t="shared" si="6"/>
        <v>0.19051854806541682</v>
      </c>
      <c r="R24" s="225">
        <f t="shared" si="7"/>
        <v>0.35722227762265651</v>
      </c>
      <c r="S24" s="456">
        <f t="shared" si="8"/>
        <v>15</v>
      </c>
      <c r="T24" s="225">
        <f t="shared" si="9"/>
        <v>0.43381602914389794</v>
      </c>
      <c r="U24" s="225">
        <f t="shared" si="10"/>
        <v>1.4460534304796597</v>
      </c>
      <c r="V24" s="225">
        <f t="shared" si="11"/>
        <v>1.1378781092298962</v>
      </c>
      <c r="W24" s="205">
        <f t="shared" si="12"/>
        <v>350</v>
      </c>
      <c r="X24" s="456">
        <f t="shared" si="46"/>
        <v>350</v>
      </c>
      <c r="Z24" s="225">
        <f t="shared" si="13"/>
        <v>0.47968545216251629</v>
      </c>
      <c r="AA24" s="181">
        <f t="shared" si="14"/>
        <v>1.258191349934469</v>
      </c>
      <c r="AB24" s="181">
        <f t="shared" si="15"/>
        <v>0.10561881515504945</v>
      </c>
      <c r="AC24" s="181"/>
      <c r="AD24" s="181">
        <f t="shared" si="16"/>
        <v>0.76065573770491812</v>
      </c>
      <c r="AE24" s="565">
        <f t="shared" si="17"/>
        <v>516.79548156956002</v>
      </c>
      <c r="AF24" s="548">
        <f t="shared" si="18"/>
        <v>3.8603278688524589E-2</v>
      </c>
      <c r="AH24" s="181">
        <f t="shared" si="19"/>
        <v>0.43276519532618868</v>
      </c>
      <c r="AI24" s="181">
        <f t="shared" si="20"/>
        <v>0.43276519532618868</v>
      </c>
      <c r="AJ24" s="181">
        <f t="shared" si="21"/>
        <v>1.3057519965379174</v>
      </c>
      <c r="AL24" s="565">
        <f t="shared" si="22"/>
        <v>56.999999999999993</v>
      </c>
      <c r="AM24" s="474">
        <f t="shared" si="23"/>
        <v>350</v>
      </c>
      <c r="AO24">
        <f t="shared" si="47"/>
        <v>56.999999999999993</v>
      </c>
      <c r="AP24" s="474">
        <f t="shared" si="24"/>
        <v>350</v>
      </c>
      <c r="AQ24" s="474"/>
      <c r="AR24" s="6">
        <f t="shared" si="48"/>
        <v>2.8571428571428572</v>
      </c>
      <c r="AS24" s="6">
        <f t="shared" si="25"/>
        <v>1.4425506510872956</v>
      </c>
      <c r="AT24" s="6">
        <f t="shared" si="49"/>
        <v>1.4145922060555616</v>
      </c>
      <c r="AU24" s="181">
        <f t="shared" si="50"/>
        <v>0.5048927278805535</v>
      </c>
      <c r="AW24" s="6">
        <f t="shared" si="26"/>
        <v>0.54816924741317219</v>
      </c>
      <c r="AX24" s="6">
        <f t="shared" si="27"/>
        <v>1.0278173388996981</v>
      </c>
      <c r="AY24" s="6">
        <f t="shared" si="28"/>
        <v>0.18664758274344212</v>
      </c>
      <c r="AZ24" s="6"/>
      <c r="BA24" s="181">
        <f t="shared" si="51"/>
        <v>0.17753797263193416</v>
      </c>
      <c r="BB24" s="181">
        <f t="shared" si="29"/>
        <v>0.17580910016922904</v>
      </c>
      <c r="BC24" s="181">
        <f t="shared" si="30"/>
        <v>0.17332291087390661</v>
      </c>
      <c r="BD24" s="181"/>
      <c r="BE24" s="548">
        <f t="shared" si="31"/>
        <v>1.103190610419009E-2</v>
      </c>
      <c r="BF24" s="548">
        <f t="shared" si="32"/>
        <v>4.1274980504235247E-2</v>
      </c>
      <c r="BG24" s="548">
        <f t="shared" si="33"/>
        <v>4.3749999999999995E-3</v>
      </c>
      <c r="BH24" s="548">
        <f t="shared" si="34"/>
        <v>1.49440703125E-2</v>
      </c>
      <c r="BI24">
        <f t="shared" si="35"/>
        <v>3.48E-3</v>
      </c>
      <c r="BJ24" s="474">
        <f t="shared" si="52"/>
        <v>75.105956920925323</v>
      </c>
      <c r="BK24" s="181">
        <f t="shared" si="36"/>
        <v>1.9949999999999996E-2</v>
      </c>
      <c r="BL24" s="181">
        <f t="shared" si="37"/>
        <v>1.9949999999999996E-2</v>
      </c>
      <c r="BM24" s="548"/>
      <c r="BO24" s="474">
        <f t="shared" si="53"/>
        <v>39.899999999999991</v>
      </c>
      <c r="BP24" s="548">
        <f t="shared" si="38"/>
        <v>0</v>
      </c>
      <c r="BQ24" s="548">
        <f t="shared" si="54"/>
        <v>0</v>
      </c>
      <c r="BR24" s="548">
        <f t="shared" si="39"/>
        <v>2.7036748290423756E-3</v>
      </c>
      <c r="BS24" s="548">
        <f t="shared" si="40"/>
        <v>1.4117926930461919E-2</v>
      </c>
      <c r="BT24" s="658">
        <f t="shared" si="41"/>
        <v>6.8827499999999986E-2</v>
      </c>
      <c r="BU24" s="474">
        <f t="shared" si="55"/>
        <v>85.64910175950429</v>
      </c>
      <c r="BV24" s="181">
        <f t="shared" si="56"/>
        <v>0.2006550586804296</v>
      </c>
      <c r="BW24" s="6">
        <f t="shared" si="57"/>
        <v>1.3109999999999999</v>
      </c>
      <c r="BX24" s="181">
        <f t="shared" si="58"/>
        <v>0.86726134541858535</v>
      </c>
      <c r="BY24" s="6">
        <f t="shared" si="59"/>
        <v>86.726134541858528</v>
      </c>
      <c r="BZ24">
        <f t="shared" si="60"/>
        <v>19</v>
      </c>
      <c r="CB24" s="583">
        <f t="shared" si="42"/>
        <v>-50</v>
      </c>
      <c r="CC24">
        <f t="shared" si="43"/>
        <v>-50</v>
      </c>
    </row>
    <row r="25" spans="5:81" x14ac:dyDescent="0.2">
      <c r="E25" s="178">
        <v>20</v>
      </c>
      <c r="F25" s="225">
        <f t="shared" si="61"/>
        <v>0.06</v>
      </c>
      <c r="G25" s="225">
        <f t="shared" si="44"/>
        <v>0.06</v>
      </c>
      <c r="H25" s="225">
        <f t="shared" si="0"/>
        <v>0.89999999999999991</v>
      </c>
      <c r="I25" s="225">
        <f t="shared" si="62"/>
        <v>0.48</v>
      </c>
      <c r="J25" s="561">
        <f t="shared" si="1"/>
        <v>12</v>
      </c>
      <c r="K25" s="456">
        <f t="shared" si="2"/>
        <v>15.25</v>
      </c>
      <c r="L25" s="456">
        <f t="shared" si="3"/>
        <v>27.25</v>
      </c>
      <c r="M25" s="456"/>
      <c r="N25" s="225">
        <f t="shared" si="4"/>
        <v>0.55963302752293576</v>
      </c>
      <c r="O25" s="180">
        <f t="shared" si="45"/>
        <v>2.8577782209812521</v>
      </c>
      <c r="P25" s="180">
        <f t="shared" si="5"/>
        <v>2.3370275229357795</v>
      </c>
      <c r="Q25" s="225">
        <f t="shared" si="6"/>
        <v>0.19051854806541682</v>
      </c>
      <c r="R25" s="225">
        <f t="shared" si="7"/>
        <v>0.35722227762265651</v>
      </c>
      <c r="S25" s="456">
        <f t="shared" si="8"/>
        <v>15</v>
      </c>
      <c r="T25" s="225">
        <f t="shared" si="9"/>
        <v>0.45664845173041885</v>
      </c>
      <c r="U25" s="225">
        <f t="shared" si="10"/>
        <v>1.5221615057680631</v>
      </c>
      <c r="V25" s="225">
        <f t="shared" si="11"/>
        <v>1.1977664307683118</v>
      </c>
      <c r="W25" s="205">
        <f t="shared" si="12"/>
        <v>350</v>
      </c>
      <c r="X25" s="456">
        <f t="shared" si="46"/>
        <v>350</v>
      </c>
      <c r="Z25" s="225">
        <f t="shared" si="13"/>
        <v>0.47968545216251629</v>
      </c>
      <c r="AA25" s="181">
        <f t="shared" si="14"/>
        <v>1.258191349934469</v>
      </c>
      <c r="AB25" s="181">
        <f t="shared" si="15"/>
        <v>0.10561881515504945</v>
      </c>
      <c r="AC25" s="181"/>
      <c r="AD25" s="181">
        <f t="shared" si="16"/>
        <v>0.76065573770491812</v>
      </c>
      <c r="AE25" s="565">
        <f t="shared" si="17"/>
        <v>543.99524375743158</v>
      </c>
      <c r="AF25" s="548">
        <f t="shared" si="18"/>
        <v>3.8603278688524589E-2</v>
      </c>
      <c r="AH25" s="181">
        <f t="shared" si="19"/>
        <v>0.44400772194057286</v>
      </c>
      <c r="AI25" s="181">
        <f t="shared" si="20"/>
        <v>0.44400772194057286</v>
      </c>
      <c r="AJ25" s="181">
        <f t="shared" si="21"/>
        <v>1.3140797940300539</v>
      </c>
      <c r="AL25" s="565">
        <f t="shared" si="22"/>
        <v>60</v>
      </c>
      <c r="AM25" s="474">
        <f t="shared" si="23"/>
        <v>350</v>
      </c>
      <c r="AO25">
        <f t="shared" si="47"/>
        <v>60</v>
      </c>
      <c r="AP25" s="474">
        <f t="shared" si="24"/>
        <v>350</v>
      </c>
      <c r="AQ25" s="474"/>
      <c r="AR25" s="6">
        <f t="shared" si="48"/>
        <v>2.8571428571428572</v>
      </c>
      <c r="AS25" s="6">
        <f t="shared" si="25"/>
        <v>1.4800257398019097</v>
      </c>
      <c r="AT25" s="6">
        <f t="shared" si="49"/>
        <v>1.3771171173409475</v>
      </c>
      <c r="AU25" s="181">
        <f t="shared" si="50"/>
        <v>0.51800900893066837</v>
      </c>
      <c r="AW25" s="6">
        <f t="shared" si="26"/>
        <v>0.59201029592076382</v>
      </c>
      <c r="AX25" s="6">
        <f t="shared" si="27"/>
        <v>1.1100193048514322</v>
      </c>
      <c r="AY25" s="6">
        <f t="shared" si="28"/>
        <v>0.1912662662973538</v>
      </c>
      <c r="AZ25" s="6"/>
      <c r="BA25" s="181">
        <f t="shared" si="51"/>
        <v>0.18450092686879357</v>
      </c>
      <c r="BB25" s="181">
        <f t="shared" si="29"/>
        <v>0.17797104736119801</v>
      </c>
      <c r="BC25" s="181">
        <f t="shared" si="30"/>
        <v>0.17545428507528205</v>
      </c>
      <c r="BD25" s="181"/>
      <c r="BE25" s="548">
        <f t="shared" si="31"/>
        <v>1.1914207205405368E-2</v>
      </c>
      <c r="BF25" s="548">
        <f t="shared" si="32"/>
        <v>4.2347236480082137E-2</v>
      </c>
      <c r="BG25" s="548">
        <f t="shared" si="33"/>
        <v>4.3749999999999995E-3</v>
      </c>
      <c r="BH25" s="548">
        <f t="shared" si="34"/>
        <v>1.49440703125E-2</v>
      </c>
      <c r="BI25">
        <f t="shared" si="35"/>
        <v>3.48E-3</v>
      </c>
      <c r="BJ25" s="474">
        <f t="shared" si="52"/>
        <v>77.060513997987499</v>
      </c>
      <c r="BK25" s="181">
        <f t="shared" si="36"/>
        <v>2.0999999999999998E-2</v>
      </c>
      <c r="BL25" s="181">
        <f t="shared" si="37"/>
        <v>2.0999999999999998E-2</v>
      </c>
      <c r="BM25" s="548"/>
      <c r="BO25" s="474">
        <f t="shared" si="53"/>
        <v>41.999999999999993</v>
      </c>
      <c r="BP25" s="548">
        <f t="shared" si="38"/>
        <v>0</v>
      </c>
      <c r="BQ25" s="548">
        <f t="shared" si="54"/>
        <v>0</v>
      </c>
      <c r="BR25" s="548">
        <f t="shared" si="39"/>
        <v>2.7705785536150502E-3</v>
      </c>
      <c r="BS25" s="548">
        <f t="shared" si="40"/>
        <v>1.5052769908169696E-2</v>
      </c>
      <c r="BT25" s="658">
        <f t="shared" si="41"/>
        <v>7.2449999999999973E-2</v>
      </c>
      <c r="BU25" s="474">
        <f t="shared" si="55"/>
        <v>90.273348461784721</v>
      </c>
      <c r="BV25" s="181">
        <f t="shared" si="56"/>
        <v>0.2093338624597722</v>
      </c>
      <c r="BW25" s="6">
        <f t="shared" si="57"/>
        <v>1.38</v>
      </c>
      <c r="BX25" s="181">
        <f t="shared" si="58"/>
        <v>0.8682883015304339</v>
      </c>
      <c r="BY25" s="6">
        <f t="shared" si="59"/>
        <v>86.828830153043384</v>
      </c>
      <c r="BZ25">
        <f t="shared" si="60"/>
        <v>20</v>
      </c>
      <c r="CB25" s="583">
        <f t="shared" si="42"/>
        <v>-50</v>
      </c>
      <c r="CC25">
        <f t="shared" si="43"/>
        <v>-50</v>
      </c>
    </row>
    <row r="26" spans="5:81" x14ac:dyDescent="0.2">
      <c r="E26" s="178">
        <v>21</v>
      </c>
      <c r="F26" s="225">
        <f t="shared" si="61"/>
        <v>6.3E-2</v>
      </c>
      <c r="G26" s="225">
        <f t="shared" si="44"/>
        <v>6.3E-2</v>
      </c>
      <c r="H26" s="225">
        <f t="shared" si="0"/>
        <v>0.94500000000000006</v>
      </c>
      <c r="I26" s="225">
        <f t="shared" si="62"/>
        <v>0.504</v>
      </c>
      <c r="J26" s="561">
        <f t="shared" si="1"/>
        <v>12</v>
      </c>
      <c r="K26" s="456">
        <f t="shared" si="2"/>
        <v>15.25</v>
      </c>
      <c r="L26" s="456">
        <f t="shared" si="3"/>
        <v>27.25</v>
      </c>
      <c r="M26" s="456"/>
      <c r="N26" s="225">
        <f t="shared" si="4"/>
        <v>0.55963302752293576</v>
      </c>
      <c r="O26" s="180">
        <f t="shared" si="45"/>
        <v>2.8577782209812521</v>
      </c>
      <c r="P26" s="180">
        <f t="shared" si="5"/>
        <v>2.3370275229357795</v>
      </c>
      <c r="Q26" s="225">
        <f t="shared" si="6"/>
        <v>0.19051854806541682</v>
      </c>
      <c r="R26" s="225">
        <f t="shared" si="7"/>
        <v>0.35722227762265651</v>
      </c>
      <c r="S26" s="456">
        <f t="shared" si="8"/>
        <v>15</v>
      </c>
      <c r="T26" s="225">
        <f t="shared" si="9"/>
        <v>0.47948087431693986</v>
      </c>
      <c r="U26" s="225">
        <f t="shared" si="10"/>
        <v>1.5982695810564664</v>
      </c>
      <c r="V26" s="225">
        <f t="shared" si="11"/>
        <v>1.2576547523067276</v>
      </c>
      <c r="W26" s="205">
        <f t="shared" si="12"/>
        <v>350</v>
      </c>
      <c r="X26" s="456">
        <f t="shared" si="46"/>
        <v>350</v>
      </c>
      <c r="Z26" s="225">
        <f t="shared" si="13"/>
        <v>0.47968545216251629</v>
      </c>
      <c r="AA26" s="181">
        <f t="shared" si="14"/>
        <v>1.258191349934469</v>
      </c>
      <c r="AB26" s="181">
        <f t="shared" si="15"/>
        <v>0.10561881515504945</v>
      </c>
      <c r="AC26" s="181"/>
      <c r="AD26" s="181">
        <f t="shared" si="16"/>
        <v>0.76065573770491812</v>
      </c>
      <c r="AE26" s="565">
        <f t="shared" si="17"/>
        <v>571.19500594530325</v>
      </c>
      <c r="AF26" s="548">
        <f t="shared" si="18"/>
        <v>3.8603278688524589E-2</v>
      </c>
      <c r="AH26" s="181">
        <f t="shared" si="19"/>
        <v>0.45497252664309301</v>
      </c>
      <c r="AI26" s="181">
        <f t="shared" si="20"/>
        <v>0.45497252664309301</v>
      </c>
      <c r="AJ26" s="181">
        <f t="shared" si="21"/>
        <v>1.3222018715874762</v>
      </c>
      <c r="AL26" s="565">
        <f t="shared" si="22"/>
        <v>63</v>
      </c>
      <c r="AM26" s="474">
        <f t="shared" si="23"/>
        <v>350</v>
      </c>
      <c r="AO26">
        <f t="shared" si="47"/>
        <v>63</v>
      </c>
      <c r="AP26" s="474">
        <f t="shared" si="24"/>
        <v>350</v>
      </c>
      <c r="AQ26" s="474"/>
      <c r="AR26" s="6">
        <f t="shared" si="48"/>
        <v>2.8571428571428572</v>
      </c>
      <c r="AS26" s="6">
        <f t="shared" si="25"/>
        <v>1.5165750888103102</v>
      </c>
      <c r="AT26" s="6">
        <f t="shared" si="49"/>
        <v>1.340567768332547</v>
      </c>
      <c r="AU26" s="181">
        <f t="shared" si="50"/>
        <v>0.53080128108360858</v>
      </c>
      <c r="AW26" s="6">
        <f t="shared" si="26"/>
        <v>0.63696153730033034</v>
      </c>
      <c r="AX26" s="6">
        <f t="shared" si="27"/>
        <v>1.1943028824381192</v>
      </c>
      <c r="AY26" s="6">
        <f t="shared" si="28"/>
        <v>0.19549946621516309</v>
      </c>
      <c r="AZ26" s="6"/>
      <c r="BA26" s="181">
        <f t="shared" si="51"/>
        <v>0.19137734556307598</v>
      </c>
      <c r="BB26" s="181">
        <f t="shared" si="29"/>
        <v>0.17992974074685653</v>
      </c>
      <c r="BC26" s="181">
        <f t="shared" si="30"/>
        <v>0.17738527976659796</v>
      </c>
      <c r="BD26" s="181"/>
      <c r="BE26" s="548">
        <f t="shared" si="31"/>
        <v>1.2818850938169148E-2</v>
      </c>
      <c r="BF26" s="548">
        <f t="shared" si="32"/>
        <v>4.339300472858499E-2</v>
      </c>
      <c r="BG26" s="548">
        <f t="shared" si="33"/>
        <v>4.3749999999999995E-3</v>
      </c>
      <c r="BH26" s="548">
        <f t="shared" si="34"/>
        <v>1.49440703125E-2</v>
      </c>
      <c r="BI26">
        <f t="shared" si="35"/>
        <v>3.48E-3</v>
      </c>
      <c r="BJ26" s="474">
        <f t="shared" si="52"/>
        <v>79.010925979254125</v>
      </c>
      <c r="BK26" s="181">
        <f t="shared" si="36"/>
        <v>2.205E-2</v>
      </c>
      <c r="BL26" s="181">
        <f t="shared" si="37"/>
        <v>2.205E-2</v>
      </c>
      <c r="BM26" s="548"/>
      <c r="BO26" s="474">
        <f t="shared" si="53"/>
        <v>44.1</v>
      </c>
      <c r="BP26" s="548">
        <f t="shared" si="38"/>
        <v>0</v>
      </c>
      <c r="BQ26" s="548">
        <f t="shared" si="54"/>
        <v>0</v>
      </c>
      <c r="BR26" s="548">
        <f t="shared" si="39"/>
        <v>2.8318983730086806E-3</v>
      </c>
      <c r="BS26" s="548">
        <f t="shared" si="40"/>
        <v>1.5999376080753608E-2</v>
      </c>
      <c r="BT26" s="658">
        <f t="shared" si="41"/>
        <v>7.6072500000000001E-2</v>
      </c>
      <c r="BU26" s="474">
        <f t="shared" si="55"/>
        <v>94.903774453762281</v>
      </c>
      <c r="BV26" s="181">
        <f t="shared" si="56"/>
        <v>0.21801470043301641</v>
      </c>
      <c r="BW26" s="6">
        <f t="shared" si="57"/>
        <v>1.4490000000000001</v>
      </c>
      <c r="BX26" s="181">
        <f t="shared" si="58"/>
        <v>0.86921848956917669</v>
      </c>
      <c r="BY26" s="6">
        <f t="shared" si="59"/>
        <v>86.921848956917671</v>
      </c>
      <c r="BZ26">
        <f t="shared" si="60"/>
        <v>21.000000000000004</v>
      </c>
      <c r="CB26" s="583">
        <f t="shared" si="42"/>
        <v>-50</v>
      </c>
      <c r="CC26">
        <f t="shared" si="43"/>
        <v>-50</v>
      </c>
    </row>
    <row r="27" spans="5:81" x14ac:dyDescent="0.2">
      <c r="E27" s="178">
        <v>22</v>
      </c>
      <c r="F27" s="225">
        <f t="shared" si="61"/>
        <v>6.6000000000000003E-2</v>
      </c>
      <c r="G27" s="225">
        <f t="shared" si="44"/>
        <v>6.6000000000000003E-2</v>
      </c>
      <c r="H27" s="225">
        <f t="shared" si="0"/>
        <v>0.99</v>
      </c>
      <c r="I27" s="225">
        <f t="shared" si="62"/>
        <v>0.52800000000000002</v>
      </c>
      <c r="J27" s="561">
        <f t="shared" si="1"/>
        <v>12</v>
      </c>
      <c r="K27" s="456">
        <f t="shared" si="2"/>
        <v>15.25</v>
      </c>
      <c r="L27" s="456">
        <f t="shared" si="3"/>
        <v>27.25</v>
      </c>
      <c r="M27" s="456"/>
      <c r="N27" s="225">
        <f t="shared" si="4"/>
        <v>0.55963302752293576</v>
      </c>
      <c r="O27" s="180">
        <f t="shared" si="45"/>
        <v>2.8577782209812521</v>
      </c>
      <c r="P27" s="180">
        <f t="shared" si="5"/>
        <v>2.3370275229357795</v>
      </c>
      <c r="Q27" s="225">
        <f t="shared" si="6"/>
        <v>0.19051854806541682</v>
      </c>
      <c r="R27" s="225">
        <f t="shared" si="7"/>
        <v>0.35722227762265651</v>
      </c>
      <c r="S27" s="456">
        <f t="shared" si="8"/>
        <v>15</v>
      </c>
      <c r="T27" s="225">
        <f t="shared" si="9"/>
        <v>0.50231329690346083</v>
      </c>
      <c r="U27" s="225">
        <f t="shared" si="10"/>
        <v>1.6743776563448696</v>
      </c>
      <c r="V27" s="225">
        <f t="shared" si="11"/>
        <v>1.3175430738451435</v>
      </c>
      <c r="W27" s="205">
        <f t="shared" si="12"/>
        <v>350</v>
      </c>
      <c r="X27" s="456">
        <f t="shared" si="46"/>
        <v>334.23345408502564</v>
      </c>
      <c r="Z27" s="225">
        <f t="shared" si="13"/>
        <v>0.47968545216251629</v>
      </c>
      <c r="AA27" s="181">
        <f t="shared" si="14"/>
        <v>1.258191349934469</v>
      </c>
      <c r="AB27" s="181">
        <f t="shared" si="15"/>
        <v>0.10561881515504945</v>
      </c>
      <c r="AC27" s="181"/>
      <c r="AD27" s="181">
        <f t="shared" si="16"/>
        <v>0.76065573770491812</v>
      </c>
      <c r="AE27" s="565">
        <f t="shared" si="17"/>
        <v>598.39476813317481</v>
      </c>
      <c r="AF27" s="548">
        <f t="shared" si="18"/>
        <v>3.8603278688524589E-2</v>
      </c>
      <c r="AH27" s="181">
        <f t="shared" si="19"/>
        <v>0.46567922742714524</v>
      </c>
      <c r="AI27" s="181">
        <f t="shared" si="20"/>
        <v>0.46567922742714524</v>
      </c>
      <c r="AJ27" s="181">
        <f t="shared" si="21"/>
        <v>1.3301327610571445</v>
      </c>
      <c r="AL27" s="565">
        <f t="shared" si="22"/>
        <v>66</v>
      </c>
      <c r="AM27" s="474">
        <f t="shared" si="23"/>
        <v>334.23345408502564</v>
      </c>
      <c r="AO27">
        <f t="shared" si="47"/>
        <v>66</v>
      </c>
      <c r="AP27" s="474">
        <f t="shared" si="24"/>
        <v>334.23345408502564</v>
      </c>
      <c r="AQ27" s="474"/>
      <c r="AR27" s="6">
        <f t="shared" si="48"/>
        <v>2.9919207301900124</v>
      </c>
      <c r="AS27" s="6">
        <f t="shared" si="25"/>
        <v>1.5522640914238177</v>
      </c>
      <c r="AT27" s="6">
        <f t="shared" si="49"/>
        <v>1.4396566387661947</v>
      </c>
      <c r="AU27" s="181">
        <f t="shared" si="50"/>
        <v>0.51881858892873667</v>
      </c>
      <c r="AW27" s="6">
        <f t="shared" si="26"/>
        <v>0.68299620022647978</v>
      </c>
      <c r="AX27" s="6">
        <f t="shared" si="27"/>
        <v>1.2806178754246496</v>
      </c>
      <c r="AY27" s="6">
        <f t="shared" si="28"/>
        <v>0.21994754203372413</v>
      </c>
      <c r="AZ27" s="6"/>
      <c r="BA27" s="181">
        <f t="shared" si="51"/>
        <v>0.19365735794288866</v>
      </c>
      <c r="BB27" s="181">
        <f t="shared" si="29"/>
        <v>0.18650078284096874</v>
      </c>
      <c r="BC27" s="181">
        <f t="shared" si="30"/>
        <v>0.18386339803311666</v>
      </c>
      <c r="BD27" s="181"/>
      <c r="BE27" s="548">
        <f t="shared" si="31"/>
        <v>1.3126110299897034E-2</v>
      </c>
      <c r="BF27" s="548">
        <f t="shared" si="32"/>
        <v>4.2413419644924219E-2</v>
      </c>
      <c r="BG27" s="548">
        <f t="shared" si="33"/>
        <v>4.1779181760628207E-3</v>
      </c>
      <c r="BH27" s="548">
        <f t="shared" si="34"/>
        <v>1.4270880681818181E-2</v>
      </c>
      <c r="BI27">
        <f t="shared" si="35"/>
        <v>3.48E-3</v>
      </c>
      <c r="BJ27" s="474">
        <f t="shared" si="52"/>
        <v>77.46832880270226</v>
      </c>
      <c r="BK27" s="181">
        <f t="shared" si="36"/>
        <v>2.3099999999999999E-2</v>
      </c>
      <c r="BL27" s="181">
        <f t="shared" si="37"/>
        <v>2.3099999999999999E-2</v>
      </c>
      <c r="BM27" s="548"/>
      <c r="BO27" s="474">
        <f t="shared" si="53"/>
        <v>46.199999999999996</v>
      </c>
      <c r="BP27" s="548">
        <f t="shared" si="38"/>
        <v>0</v>
      </c>
      <c r="BQ27" s="548">
        <f t="shared" si="54"/>
        <v>0</v>
      </c>
      <c r="BR27" s="548">
        <f t="shared" si="39"/>
        <v>3.0425174222655856E-3</v>
      </c>
      <c r="BS27" s="548">
        <f t="shared" si="40"/>
        <v>1.5111652617129014E-2</v>
      </c>
      <c r="BT27" s="658">
        <f t="shared" si="41"/>
        <v>7.6104957495160344E-2</v>
      </c>
      <c r="BU27" s="474">
        <f t="shared" si="55"/>
        <v>94.259127534554935</v>
      </c>
      <c r="BV27" s="181">
        <f t="shared" si="56"/>
        <v>0.21792745633725719</v>
      </c>
      <c r="BW27" s="6">
        <f t="shared" si="57"/>
        <v>1.518</v>
      </c>
      <c r="BX27" s="181">
        <f t="shared" si="58"/>
        <v>0.87446050493545624</v>
      </c>
      <c r="BY27" s="6">
        <f t="shared" si="59"/>
        <v>87.446050493545627</v>
      </c>
      <c r="BZ27">
        <f t="shared" si="60"/>
        <v>22.000000000000004</v>
      </c>
      <c r="CB27" s="583">
        <f t="shared" si="42"/>
        <v>-50</v>
      </c>
      <c r="CC27">
        <f t="shared" si="43"/>
        <v>-50</v>
      </c>
    </row>
    <row r="28" spans="5:81" x14ac:dyDescent="0.2">
      <c r="E28" s="178">
        <v>23</v>
      </c>
      <c r="F28" s="225">
        <f t="shared" si="61"/>
        <v>6.9000000000000006E-2</v>
      </c>
      <c r="G28" s="225">
        <f t="shared" si="44"/>
        <v>6.9000000000000006E-2</v>
      </c>
      <c r="H28" s="225">
        <f t="shared" si="0"/>
        <v>1.0350000000000001</v>
      </c>
      <c r="I28" s="225">
        <f t="shared" si="62"/>
        <v>0.55200000000000005</v>
      </c>
      <c r="J28" s="561">
        <f t="shared" si="1"/>
        <v>12</v>
      </c>
      <c r="K28" s="456">
        <f t="shared" si="2"/>
        <v>15.25</v>
      </c>
      <c r="L28" s="456">
        <f t="shared" si="3"/>
        <v>27.25</v>
      </c>
      <c r="M28" s="456"/>
      <c r="N28" s="225">
        <f t="shared" si="4"/>
        <v>0.55963302752293576</v>
      </c>
      <c r="O28" s="180">
        <f t="shared" si="45"/>
        <v>2.8577782209812521</v>
      </c>
      <c r="P28" s="180">
        <f t="shared" si="5"/>
        <v>2.3370275229357795</v>
      </c>
      <c r="Q28" s="225">
        <f t="shared" si="6"/>
        <v>0.19051854806541682</v>
      </c>
      <c r="R28" s="225">
        <f t="shared" si="7"/>
        <v>0.35722227762265651</v>
      </c>
      <c r="S28" s="456">
        <f t="shared" si="8"/>
        <v>15</v>
      </c>
      <c r="T28" s="225">
        <f t="shared" si="9"/>
        <v>0.52514571948998179</v>
      </c>
      <c r="U28" s="225">
        <f t="shared" si="10"/>
        <v>1.7504857316332727</v>
      </c>
      <c r="V28" s="225">
        <f t="shared" si="11"/>
        <v>1.3774313953835589</v>
      </c>
      <c r="W28" s="205">
        <f t="shared" si="12"/>
        <v>350</v>
      </c>
      <c r="X28" s="456">
        <f t="shared" si="46"/>
        <v>319.701564776981</v>
      </c>
      <c r="Z28" s="225">
        <f t="shared" si="13"/>
        <v>0.47968545216251629</v>
      </c>
      <c r="AA28" s="181">
        <f t="shared" si="14"/>
        <v>1.258191349934469</v>
      </c>
      <c r="AB28" s="181">
        <f t="shared" si="15"/>
        <v>0.10561881515504945</v>
      </c>
      <c r="AC28" s="181"/>
      <c r="AD28" s="181">
        <f t="shared" si="16"/>
        <v>0.76065573770491812</v>
      </c>
      <c r="AE28" s="565">
        <f t="shared" si="17"/>
        <v>625.59453032104636</v>
      </c>
      <c r="AF28" s="548">
        <f t="shared" si="18"/>
        <v>3.8603278688524589E-2</v>
      </c>
      <c r="AH28" s="181">
        <f t="shared" si="19"/>
        <v>0.47614523594622438</v>
      </c>
      <c r="AI28" s="181">
        <f t="shared" si="20"/>
        <v>0.47614523594622438</v>
      </c>
      <c r="AJ28" s="181">
        <f t="shared" si="21"/>
        <v>1.3378853599601661</v>
      </c>
      <c r="AL28" s="565">
        <f t="shared" si="22"/>
        <v>69</v>
      </c>
      <c r="AM28" s="474">
        <f t="shared" si="23"/>
        <v>319.701564776981</v>
      </c>
      <c r="AO28">
        <f t="shared" si="47"/>
        <v>69</v>
      </c>
      <c r="AP28" s="474">
        <f t="shared" si="24"/>
        <v>319.701564776981</v>
      </c>
      <c r="AQ28" s="474"/>
      <c r="AR28" s="6">
        <f t="shared" si="48"/>
        <v>3.1279171270168318</v>
      </c>
      <c r="AS28" s="6">
        <f t="shared" si="25"/>
        <v>1.5871507864874148</v>
      </c>
      <c r="AT28" s="6">
        <f t="shared" si="49"/>
        <v>1.540766340529417</v>
      </c>
      <c r="AU28" s="181">
        <f t="shared" si="50"/>
        <v>0.50741458997704258</v>
      </c>
      <c r="AW28" s="6">
        <f t="shared" si="26"/>
        <v>0.73008936178421091</v>
      </c>
      <c r="AX28" s="6">
        <f t="shared" si="27"/>
        <v>1.3689175533453954</v>
      </c>
      <c r="AY28" s="6">
        <f t="shared" si="28"/>
        <v>0.24609462383455966</v>
      </c>
      <c r="AZ28" s="6"/>
      <c r="BA28" s="181">
        <f t="shared" si="51"/>
        <v>0.19582146318151844</v>
      </c>
      <c r="BB28" s="181">
        <f t="shared" si="29"/>
        <v>0.19293880669496682</v>
      </c>
      <c r="BC28" s="181">
        <f t="shared" si="30"/>
        <v>0.19021037912554306</v>
      </c>
      <c r="BD28" s="181"/>
      <c r="BE28" s="548">
        <f t="shared" si="31"/>
        <v>1.3421115904892773E-2</v>
      </c>
      <c r="BF28" s="548">
        <f t="shared" si="32"/>
        <v>4.1481142730623234E-2</v>
      </c>
      <c r="BG28" s="548">
        <f t="shared" si="33"/>
        <v>3.996269559712262E-3</v>
      </c>
      <c r="BH28" s="548">
        <f t="shared" si="34"/>
        <v>1.3650407608695649E-2</v>
      </c>
      <c r="BI28">
        <f t="shared" si="35"/>
        <v>3.48E-3</v>
      </c>
      <c r="BJ28" s="474">
        <f t="shared" si="52"/>
        <v>76.028935803923915</v>
      </c>
      <c r="BK28" s="181">
        <f t="shared" si="36"/>
        <v>2.4150000000000001E-2</v>
      </c>
      <c r="BL28" s="181">
        <f t="shared" si="37"/>
        <v>2.4150000000000001E-2</v>
      </c>
      <c r="BM28" s="548"/>
      <c r="BO28" s="474">
        <f t="shared" si="53"/>
        <v>48.300000000000004</v>
      </c>
      <c r="BP28" s="548">
        <f t="shared" si="38"/>
        <v>0</v>
      </c>
      <c r="BQ28" s="548">
        <f t="shared" si="54"/>
        <v>0</v>
      </c>
      <c r="BR28" s="548">
        <f t="shared" si="39"/>
        <v>3.2561989494374545E-3</v>
      </c>
      <c r="BS28" s="548">
        <f t="shared" si="40"/>
        <v>1.4294880118730542E-2</v>
      </c>
      <c r="BT28" s="658">
        <f t="shared" si="41"/>
        <v>7.6104957495160316E-2</v>
      </c>
      <c r="BU28" s="474">
        <f t="shared" si="55"/>
        <v>93.656036563328314</v>
      </c>
      <c r="BV28" s="181">
        <f t="shared" si="56"/>
        <v>0.21798497236725223</v>
      </c>
      <c r="BW28" s="6">
        <f t="shared" si="57"/>
        <v>1.5870000000000002</v>
      </c>
      <c r="BX28" s="181">
        <f t="shared" si="58"/>
        <v>0.87923169682606106</v>
      </c>
      <c r="BY28" s="6">
        <f t="shared" si="59"/>
        <v>87.923169682606101</v>
      </c>
      <c r="BZ28">
        <f t="shared" si="60"/>
        <v>23.000000000000004</v>
      </c>
      <c r="CB28" s="583">
        <f t="shared" si="42"/>
        <v>-50</v>
      </c>
      <c r="CC28">
        <f t="shared" si="43"/>
        <v>-50</v>
      </c>
    </row>
    <row r="29" spans="5:81" x14ac:dyDescent="0.2">
      <c r="E29" s="178">
        <v>24</v>
      </c>
      <c r="F29" s="225">
        <f t="shared" si="61"/>
        <v>7.1999999999999995E-2</v>
      </c>
      <c r="G29" s="225">
        <f t="shared" si="44"/>
        <v>7.1999999999999995E-2</v>
      </c>
      <c r="H29" s="225">
        <f t="shared" si="0"/>
        <v>1.0799999999999998</v>
      </c>
      <c r="I29" s="225">
        <f t="shared" si="62"/>
        <v>0.57599999999999996</v>
      </c>
      <c r="J29" s="561">
        <f t="shared" si="1"/>
        <v>12</v>
      </c>
      <c r="K29" s="456">
        <f t="shared" si="2"/>
        <v>15.25</v>
      </c>
      <c r="L29" s="456">
        <f t="shared" si="3"/>
        <v>27.25</v>
      </c>
      <c r="M29" s="456"/>
      <c r="N29" s="225">
        <f t="shared" si="4"/>
        <v>0.55963302752293576</v>
      </c>
      <c r="O29" s="180">
        <f t="shared" si="45"/>
        <v>2.8577782209812521</v>
      </c>
      <c r="P29" s="180">
        <f t="shared" si="5"/>
        <v>2.3370275229357795</v>
      </c>
      <c r="Q29" s="225">
        <f t="shared" si="6"/>
        <v>0.19051854806541682</v>
      </c>
      <c r="R29" s="225">
        <f t="shared" si="7"/>
        <v>0.35722227762265651</v>
      </c>
      <c r="S29" s="456">
        <f t="shared" si="8"/>
        <v>15</v>
      </c>
      <c r="T29" s="225">
        <f t="shared" si="9"/>
        <v>0.54797814207650264</v>
      </c>
      <c r="U29" s="225">
        <f t="shared" si="10"/>
        <v>1.8265938069216756</v>
      </c>
      <c r="V29" s="225">
        <f t="shared" si="11"/>
        <v>1.4373197169219742</v>
      </c>
      <c r="W29" s="205">
        <f t="shared" si="12"/>
        <v>350</v>
      </c>
      <c r="X29" s="456">
        <f t="shared" si="46"/>
        <v>306.38066624460686</v>
      </c>
      <c r="Z29" s="225">
        <f t="shared" si="13"/>
        <v>0.47968545216251629</v>
      </c>
      <c r="AA29" s="181">
        <f t="shared" si="14"/>
        <v>1.258191349934469</v>
      </c>
      <c r="AB29" s="181">
        <f t="shared" si="15"/>
        <v>0.10561881515504945</v>
      </c>
      <c r="AC29" s="181"/>
      <c r="AD29" s="181">
        <f t="shared" si="16"/>
        <v>0.76065573770491812</v>
      </c>
      <c r="AE29" s="565">
        <f t="shared" si="17"/>
        <v>652.79429250891781</v>
      </c>
      <c r="AF29" s="548">
        <f t="shared" si="18"/>
        <v>3.8603278688524589E-2</v>
      </c>
      <c r="AH29" s="181">
        <f t="shared" si="19"/>
        <v>0.48638609002666644</v>
      </c>
      <c r="AI29" s="181">
        <f t="shared" si="20"/>
        <v>0.48638609002666644</v>
      </c>
      <c r="AJ29" s="181">
        <f t="shared" si="21"/>
        <v>1.3454711777975306</v>
      </c>
      <c r="AL29" s="565">
        <f t="shared" si="22"/>
        <v>72</v>
      </c>
      <c r="AM29" s="474">
        <f t="shared" si="23"/>
        <v>306.38066624460686</v>
      </c>
      <c r="AO29">
        <f t="shared" si="47"/>
        <v>72</v>
      </c>
      <c r="AP29" s="474">
        <f t="shared" si="24"/>
        <v>306.38066624460686</v>
      </c>
      <c r="AQ29" s="474"/>
      <c r="AR29" s="6">
        <f t="shared" si="48"/>
        <v>3.2639135238436503</v>
      </c>
      <c r="AS29" s="6">
        <f t="shared" si="25"/>
        <v>1.6212869667555549</v>
      </c>
      <c r="AT29" s="6">
        <f t="shared" si="49"/>
        <v>1.6426265570880954</v>
      </c>
      <c r="AU29" s="181">
        <f t="shared" si="50"/>
        <v>0.49673098104826463</v>
      </c>
      <c r="AW29" s="6">
        <f t="shared" si="26"/>
        <v>0.7782177440426663</v>
      </c>
      <c r="AX29" s="6">
        <f t="shared" si="27"/>
        <v>1.4591582700799992</v>
      </c>
      <c r="AY29" s="6">
        <f t="shared" si="28"/>
        <v>0.27377109284801576</v>
      </c>
      <c r="AZ29" s="6"/>
      <c r="BA29" s="181">
        <f t="shared" si="51"/>
        <v>0.19791610832393536</v>
      </c>
      <c r="BB29" s="181">
        <f t="shared" si="29"/>
        <v>0.19921434918963823</v>
      </c>
      <c r="BC29" s="181">
        <f t="shared" si="30"/>
        <v>0.19639717657483524</v>
      </c>
      <c r="BD29" s="181"/>
      <c r="BE29" s="548">
        <f t="shared" si="31"/>
        <v>1.3709775076932098E-2</v>
      </c>
      <c r="BF29" s="548">
        <f t="shared" si="32"/>
        <v>4.0607757700695642E-2</v>
      </c>
      <c r="BG29" s="548">
        <f t="shared" si="33"/>
        <v>3.8297583280575854E-3</v>
      </c>
      <c r="BH29" s="548">
        <f t="shared" si="34"/>
        <v>1.3081640625E-2</v>
      </c>
      <c r="BI29">
        <f t="shared" si="35"/>
        <v>3.48E-3</v>
      </c>
      <c r="BJ29" s="474">
        <f t="shared" si="52"/>
        <v>74.708931730685322</v>
      </c>
      <c r="BK29" s="181">
        <f t="shared" si="36"/>
        <v>2.5199999999999997E-2</v>
      </c>
      <c r="BL29" s="181">
        <f t="shared" si="37"/>
        <v>2.5199999999999997E-2</v>
      </c>
      <c r="BM29" s="548"/>
      <c r="BO29" s="474">
        <f t="shared" si="53"/>
        <v>50.399999999999991</v>
      </c>
      <c r="BP29" s="548">
        <f t="shared" si="38"/>
        <v>0</v>
      </c>
      <c r="BQ29" s="548">
        <f t="shared" si="54"/>
        <v>0</v>
      </c>
      <c r="BR29" s="548">
        <f t="shared" si="39"/>
        <v>3.4714665869910307E-3</v>
      </c>
      <c r="BS29" s="548">
        <f t="shared" si="40"/>
        <v>1.3554273993679054E-2</v>
      </c>
      <c r="BT29" s="658">
        <f t="shared" si="41"/>
        <v>7.6104957495160316E-2</v>
      </c>
      <c r="BU29" s="474">
        <f t="shared" si="55"/>
        <v>93.130698075830409</v>
      </c>
      <c r="BV29" s="181">
        <f t="shared" si="56"/>
        <v>0.21823962980651573</v>
      </c>
      <c r="BW29" s="6">
        <f t="shared" si="57"/>
        <v>1.6559999999999997</v>
      </c>
      <c r="BX29" s="181">
        <f t="shared" si="58"/>
        <v>0.88355831008170216</v>
      </c>
      <c r="BY29" s="6">
        <f t="shared" si="59"/>
        <v>88.355831008170213</v>
      </c>
      <c r="BZ29">
        <f t="shared" si="60"/>
        <v>24</v>
      </c>
      <c r="CB29" s="583">
        <f t="shared" si="42"/>
        <v>-50</v>
      </c>
      <c r="CC29">
        <f t="shared" si="43"/>
        <v>-50</v>
      </c>
    </row>
    <row r="30" spans="5:81" x14ac:dyDescent="0.2">
      <c r="E30" s="178">
        <v>25</v>
      </c>
      <c r="F30" s="225">
        <f t="shared" si="61"/>
        <v>7.4999999999999997E-2</v>
      </c>
      <c r="G30" s="225">
        <f t="shared" si="44"/>
        <v>7.4999999999999997E-2</v>
      </c>
      <c r="H30" s="225">
        <f t="shared" si="0"/>
        <v>1.125</v>
      </c>
      <c r="I30" s="225">
        <f t="shared" si="62"/>
        <v>0.6</v>
      </c>
      <c r="J30" s="561">
        <f t="shared" si="1"/>
        <v>12</v>
      </c>
      <c r="K30" s="456">
        <f t="shared" si="2"/>
        <v>15.25</v>
      </c>
      <c r="L30" s="456">
        <f t="shared" si="3"/>
        <v>27.25</v>
      </c>
      <c r="M30" s="456"/>
      <c r="N30" s="225">
        <f t="shared" si="4"/>
        <v>0.55963302752293576</v>
      </c>
      <c r="O30" s="180">
        <f t="shared" si="45"/>
        <v>2.8577782209812521</v>
      </c>
      <c r="P30" s="180">
        <f t="shared" si="5"/>
        <v>2.3370275229357795</v>
      </c>
      <c r="Q30" s="225">
        <f t="shared" si="6"/>
        <v>0.19051854806541682</v>
      </c>
      <c r="R30" s="225">
        <f t="shared" si="7"/>
        <v>0.35722227762265651</v>
      </c>
      <c r="S30" s="456">
        <f t="shared" si="8"/>
        <v>15</v>
      </c>
      <c r="T30" s="225">
        <f t="shared" si="9"/>
        <v>0.57081056466302371</v>
      </c>
      <c r="U30" s="225">
        <f t="shared" si="10"/>
        <v>1.902701882210079</v>
      </c>
      <c r="V30" s="225">
        <f t="shared" si="11"/>
        <v>1.4972080384603901</v>
      </c>
      <c r="W30" s="205">
        <f t="shared" si="12"/>
        <v>350</v>
      </c>
      <c r="X30" s="456">
        <f t="shared" si="46"/>
        <v>294.12543959482258</v>
      </c>
      <c r="Z30" s="225">
        <f t="shared" si="13"/>
        <v>0.47968545216251629</v>
      </c>
      <c r="AA30" s="181">
        <f t="shared" si="14"/>
        <v>1.258191349934469</v>
      </c>
      <c r="AB30" s="181">
        <f t="shared" si="15"/>
        <v>0.10561881515504945</v>
      </c>
      <c r="AC30" s="181"/>
      <c r="AD30" s="181">
        <f t="shared" si="16"/>
        <v>0.76065573770491812</v>
      </c>
      <c r="AE30" s="565">
        <f t="shared" si="17"/>
        <v>679.99405469678948</v>
      </c>
      <c r="AF30" s="548">
        <f t="shared" si="18"/>
        <v>3.8603278688524589E-2</v>
      </c>
      <c r="AH30" s="181">
        <f t="shared" si="19"/>
        <v>0.49641572439697296</v>
      </c>
      <c r="AI30" s="181">
        <f t="shared" si="20"/>
        <v>0.49641572439697296</v>
      </c>
      <c r="AJ30" s="181">
        <f t="shared" si="21"/>
        <v>1.3529005365903504</v>
      </c>
      <c r="AL30" s="565">
        <f t="shared" si="22"/>
        <v>75</v>
      </c>
      <c r="AM30" s="474">
        <f t="shared" si="23"/>
        <v>294.12543959482258</v>
      </c>
      <c r="AO30">
        <f t="shared" si="47"/>
        <v>75</v>
      </c>
      <c r="AP30" s="474">
        <f t="shared" si="24"/>
        <v>294.12543959482258</v>
      </c>
      <c r="AQ30" s="474"/>
      <c r="AR30" s="6">
        <f t="shared" si="48"/>
        <v>3.3999099206704688</v>
      </c>
      <c r="AS30" s="6">
        <f t="shared" si="25"/>
        <v>1.6547190813232433</v>
      </c>
      <c r="AT30" s="6">
        <f t="shared" si="49"/>
        <v>1.7451908393472255</v>
      </c>
      <c r="AU30" s="181">
        <f t="shared" si="50"/>
        <v>0.48669497720013993</v>
      </c>
      <c r="AW30" s="6">
        <f t="shared" si="26"/>
        <v>0.82735954066162154</v>
      </c>
      <c r="AX30" s="6">
        <f t="shared" si="27"/>
        <v>1.5512991387405404</v>
      </c>
      <c r="AY30" s="6">
        <f t="shared" si="28"/>
        <v>0.30298452072000442</v>
      </c>
      <c r="AZ30" s="6"/>
      <c r="BA30" s="181">
        <f t="shared" si="51"/>
        <v>0.19994628274688481</v>
      </c>
      <c r="BB30" s="181">
        <f t="shared" si="29"/>
        <v>0.20533957523711774</v>
      </c>
      <c r="BC30" s="181">
        <f t="shared" si="30"/>
        <v>0.20243578326406755</v>
      </c>
      <c r="BD30" s="181"/>
      <c r="BE30" s="548">
        <f t="shared" si="31"/>
        <v>1.3992480594504021E-2</v>
      </c>
      <c r="BF30" s="548">
        <f t="shared" si="32"/>
        <v>3.9787314386111432E-2</v>
      </c>
      <c r="BG30" s="548">
        <f t="shared" si="33"/>
        <v>3.6765679949352821E-3</v>
      </c>
      <c r="BH30" s="548">
        <f t="shared" si="34"/>
        <v>1.2558375E-2</v>
      </c>
      <c r="BI30">
        <f t="shared" si="35"/>
        <v>3.48E-3</v>
      </c>
      <c r="BJ30" s="474">
        <f t="shared" si="52"/>
        <v>73.494737975550734</v>
      </c>
      <c r="BK30" s="181">
        <f t="shared" si="36"/>
        <v>2.6249999999999999E-2</v>
      </c>
      <c r="BL30" s="181">
        <f t="shared" si="37"/>
        <v>2.6249999999999999E-2</v>
      </c>
      <c r="BM30" s="548"/>
      <c r="BO30" s="474">
        <f t="shared" si="53"/>
        <v>52.5</v>
      </c>
      <c r="BP30" s="548">
        <f t="shared" si="38"/>
        <v>0</v>
      </c>
      <c r="BQ30" s="548">
        <f t="shared" si="54"/>
        <v>0</v>
      </c>
      <c r="BR30" s="548">
        <f t="shared" si="39"/>
        <v>3.6882221711162879E-3</v>
      </c>
      <c r="BS30" s="548">
        <f t="shared" si="40"/>
        <v>1.2879983354559244E-2</v>
      </c>
      <c r="BT30" s="658">
        <f t="shared" si="41"/>
        <v>7.6104957495160344E-2</v>
      </c>
      <c r="BU30" s="474">
        <f t="shared" si="55"/>
        <v>92.673163020835872</v>
      </c>
      <c r="BV30" s="181">
        <f t="shared" si="56"/>
        <v>0.21866790099638661</v>
      </c>
      <c r="BW30" s="6">
        <f t="shared" si="57"/>
        <v>1.7250000000000001</v>
      </c>
      <c r="BX30" s="181">
        <f t="shared" si="58"/>
        <v>0.88749729267829636</v>
      </c>
      <c r="BY30" s="6">
        <f t="shared" si="59"/>
        <v>88.749729267829636</v>
      </c>
      <c r="BZ30">
        <f t="shared" si="60"/>
        <v>25</v>
      </c>
      <c r="CB30" s="583">
        <f t="shared" si="42"/>
        <v>-50</v>
      </c>
      <c r="CC30">
        <f t="shared" si="43"/>
        <v>-50</v>
      </c>
    </row>
    <row r="31" spans="5:81" x14ac:dyDescent="0.2">
      <c r="E31" s="178">
        <v>26</v>
      </c>
      <c r="F31" s="225">
        <f t="shared" si="61"/>
        <v>7.8E-2</v>
      </c>
      <c r="G31" s="225">
        <f t="shared" si="44"/>
        <v>7.8E-2</v>
      </c>
      <c r="H31" s="225">
        <f t="shared" si="0"/>
        <v>1.17</v>
      </c>
      <c r="I31" s="225">
        <f t="shared" si="62"/>
        <v>0.624</v>
      </c>
      <c r="J31" s="561">
        <f t="shared" si="1"/>
        <v>12</v>
      </c>
      <c r="K31" s="456">
        <f t="shared" si="2"/>
        <v>15.25</v>
      </c>
      <c r="L31" s="456">
        <f t="shared" si="3"/>
        <v>27.25</v>
      </c>
      <c r="M31" s="456"/>
      <c r="N31" s="225">
        <f t="shared" si="4"/>
        <v>0.55963302752293576</v>
      </c>
      <c r="O31" s="180">
        <f t="shared" si="45"/>
        <v>2.8577782209812521</v>
      </c>
      <c r="P31" s="180">
        <f t="shared" si="5"/>
        <v>2.3370275229357795</v>
      </c>
      <c r="Q31" s="225">
        <f t="shared" si="6"/>
        <v>0.19051854806541682</v>
      </c>
      <c r="R31" s="225">
        <f t="shared" si="7"/>
        <v>0.35722227762265651</v>
      </c>
      <c r="S31" s="456">
        <f t="shared" si="8"/>
        <v>15</v>
      </c>
      <c r="T31" s="225">
        <f t="shared" si="9"/>
        <v>0.59364298724954456</v>
      </c>
      <c r="U31" s="225">
        <f t="shared" si="10"/>
        <v>1.9788099574984819</v>
      </c>
      <c r="V31" s="225">
        <f t="shared" si="11"/>
        <v>1.5570963599988055</v>
      </c>
      <c r="W31" s="205">
        <f t="shared" si="12"/>
        <v>350</v>
      </c>
      <c r="X31" s="456">
        <f t="shared" si="46"/>
        <v>282.81292268732943</v>
      </c>
      <c r="Z31" s="225">
        <f t="shared" si="13"/>
        <v>0.47968545216251629</v>
      </c>
      <c r="AA31" s="181">
        <f t="shared" si="14"/>
        <v>1.258191349934469</v>
      </c>
      <c r="AB31" s="181">
        <f t="shared" si="15"/>
        <v>0.10561881515504945</v>
      </c>
      <c r="AC31" s="181"/>
      <c r="AD31" s="181">
        <f t="shared" si="16"/>
        <v>0.76065573770491812</v>
      </c>
      <c r="AE31" s="565">
        <f t="shared" si="17"/>
        <v>707.19381688466115</v>
      </c>
      <c r="AF31" s="548">
        <f t="shared" si="18"/>
        <v>3.8603278688524589E-2</v>
      </c>
      <c r="AH31" s="181">
        <f t="shared" si="19"/>
        <v>0.50624669311089265</v>
      </c>
      <c r="AI31" s="181">
        <f t="shared" si="20"/>
        <v>0.50624669311089265</v>
      </c>
      <c r="AJ31" s="181">
        <f t="shared" si="21"/>
        <v>1.3601827356376983</v>
      </c>
      <c r="AL31" s="565">
        <f t="shared" si="22"/>
        <v>78</v>
      </c>
      <c r="AM31" s="474">
        <f t="shared" si="23"/>
        <v>282.81292268732943</v>
      </c>
      <c r="AO31">
        <f t="shared" si="47"/>
        <v>78</v>
      </c>
      <c r="AP31" s="474">
        <f t="shared" si="24"/>
        <v>282.81292268732943</v>
      </c>
      <c r="AQ31" s="474"/>
      <c r="AR31" s="6">
        <f t="shared" si="48"/>
        <v>3.5359063174972873</v>
      </c>
      <c r="AS31" s="6">
        <f t="shared" si="25"/>
        <v>1.6874889770363088</v>
      </c>
      <c r="AT31" s="6">
        <f t="shared" si="49"/>
        <v>1.8484173404609785</v>
      </c>
      <c r="AU31" s="181">
        <f t="shared" si="50"/>
        <v>0.47724368959829022</v>
      </c>
      <c r="AW31" s="6">
        <f t="shared" si="26"/>
        <v>0.87749426805888053</v>
      </c>
      <c r="AX31" s="6">
        <f t="shared" si="27"/>
        <v>1.6453017526104012</v>
      </c>
      <c r="AY31" s="6">
        <f t="shared" si="28"/>
        <v>0.33374201980545437</v>
      </c>
      <c r="AZ31" s="6"/>
      <c r="BA31" s="181">
        <f t="shared" si="51"/>
        <v>0.20191643475874499</v>
      </c>
      <c r="BB31" s="181">
        <f t="shared" si="29"/>
        <v>0.21132516367647497</v>
      </c>
      <c r="BC31" s="181">
        <f t="shared" si="30"/>
        <v>0.20833672701842382</v>
      </c>
      <c r="BD31" s="181"/>
      <c r="BE31" s="548">
        <f t="shared" si="31"/>
        <v>1.4269586318988881E-2</v>
      </c>
      <c r="BF31" s="548">
        <f t="shared" si="32"/>
        <v>3.9014671624660227E-2</v>
      </c>
      <c r="BG31" s="548">
        <f t="shared" si="33"/>
        <v>3.5351615335916181E-3</v>
      </c>
      <c r="BH31" s="548">
        <f t="shared" si="34"/>
        <v>1.2075360576923079E-2</v>
      </c>
      <c r="BI31">
        <f t="shared" si="35"/>
        <v>3.48E-3</v>
      </c>
      <c r="BJ31" s="474">
        <f t="shared" si="52"/>
        <v>72.374780054163793</v>
      </c>
      <c r="BK31" s="181">
        <f t="shared" si="36"/>
        <v>2.7299999999999998E-2</v>
      </c>
      <c r="BL31" s="181">
        <f t="shared" si="37"/>
        <v>2.7299999999999998E-2</v>
      </c>
      <c r="BM31" s="548"/>
      <c r="BO31" s="474">
        <f t="shared" si="53"/>
        <v>54.599999999999994</v>
      </c>
      <c r="BP31" s="548">
        <f t="shared" si="38"/>
        <v>0</v>
      </c>
      <c r="BQ31" s="548">
        <f t="shared" si="54"/>
        <v>0</v>
      </c>
      <c r="BR31" s="548">
        <f t="shared" si="39"/>
        <v>3.9063772642274315E-3</v>
      </c>
      <c r="BS31" s="548">
        <f t="shared" si="40"/>
        <v>1.2263759570516805E-2</v>
      </c>
      <c r="BT31" s="658">
        <f t="shared" si="41"/>
        <v>7.6104957495160372E-2</v>
      </c>
      <c r="BU31" s="474">
        <f t="shared" si="55"/>
        <v>92.275094329904604</v>
      </c>
      <c r="BV31" s="181">
        <f t="shared" si="56"/>
        <v>0.2192498743840684</v>
      </c>
      <c r="BW31" s="6">
        <f t="shared" si="57"/>
        <v>1.794</v>
      </c>
      <c r="BX31" s="181">
        <f t="shared" si="58"/>
        <v>0.89109654138131</v>
      </c>
      <c r="BY31" s="6">
        <f t="shared" si="59"/>
        <v>89.109654138131006</v>
      </c>
      <c r="BZ31">
        <f t="shared" si="60"/>
        <v>26</v>
      </c>
      <c r="CB31" s="583">
        <f t="shared" si="42"/>
        <v>-50</v>
      </c>
      <c r="CC31">
        <f t="shared" si="43"/>
        <v>-50</v>
      </c>
    </row>
    <row r="32" spans="5:81" x14ac:dyDescent="0.2">
      <c r="E32" s="178">
        <v>27</v>
      </c>
      <c r="F32" s="225">
        <f t="shared" si="61"/>
        <v>8.1000000000000003E-2</v>
      </c>
      <c r="G32" s="225">
        <f t="shared" si="44"/>
        <v>8.1000000000000003E-2</v>
      </c>
      <c r="H32" s="225">
        <f t="shared" si="0"/>
        <v>1.2150000000000001</v>
      </c>
      <c r="I32" s="225">
        <f t="shared" si="62"/>
        <v>0.64800000000000002</v>
      </c>
      <c r="J32" s="561">
        <f t="shared" si="1"/>
        <v>12</v>
      </c>
      <c r="K32" s="456">
        <f t="shared" si="2"/>
        <v>15.25</v>
      </c>
      <c r="L32" s="456">
        <f t="shared" si="3"/>
        <v>27.25</v>
      </c>
      <c r="M32" s="456"/>
      <c r="N32" s="225">
        <f t="shared" si="4"/>
        <v>0.55963302752293576</v>
      </c>
      <c r="O32" s="180">
        <f t="shared" si="45"/>
        <v>2.8577782209812521</v>
      </c>
      <c r="P32" s="180">
        <f t="shared" si="5"/>
        <v>2.3370275229357795</v>
      </c>
      <c r="Q32" s="225">
        <f t="shared" si="6"/>
        <v>0.19051854806541682</v>
      </c>
      <c r="R32" s="225">
        <f t="shared" si="7"/>
        <v>0.35722227762265651</v>
      </c>
      <c r="S32" s="456">
        <f t="shared" si="8"/>
        <v>15</v>
      </c>
      <c r="T32" s="225">
        <f t="shared" si="9"/>
        <v>0.61647540983606552</v>
      </c>
      <c r="U32" s="225">
        <f t="shared" si="10"/>
        <v>2.0549180327868855</v>
      </c>
      <c r="V32" s="225">
        <f t="shared" si="11"/>
        <v>1.6169846815372211</v>
      </c>
      <c r="W32" s="205">
        <f t="shared" si="12"/>
        <v>350</v>
      </c>
      <c r="X32" s="456">
        <f t="shared" si="46"/>
        <v>272.33836999520605</v>
      </c>
      <c r="Z32" s="225">
        <f t="shared" si="13"/>
        <v>0.47968545216251629</v>
      </c>
      <c r="AA32" s="181">
        <f t="shared" si="14"/>
        <v>1.258191349934469</v>
      </c>
      <c r="AB32" s="181">
        <f t="shared" si="15"/>
        <v>0.10561881515504945</v>
      </c>
      <c r="AC32" s="181"/>
      <c r="AD32" s="181">
        <f t="shared" si="16"/>
        <v>0.76065573770491812</v>
      </c>
      <c r="AE32" s="565">
        <f t="shared" si="17"/>
        <v>734.3935790725327</v>
      </c>
      <c r="AF32" s="548">
        <f t="shared" si="18"/>
        <v>3.8603278688524589E-2</v>
      </c>
      <c r="AH32" s="181">
        <f t="shared" si="19"/>
        <v>0.51589035379899972</v>
      </c>
      <c r="AI32" s="181">
        <f t="shared" si="20"/>
        <v>0.51589035379899972</v>
      </c>
      <c r="AJ32" s="181">
        <f t="shared" si="21"/>
        <v>1.3673261879992591</v>
      </c>
      <c r="AL32" s="565">
        <f t="shared" si="22"/>
        <v>81</v>
      </c>
      <c r="AM32" s="474">
        <f t="shared" si="23"/>
        <v>272.33836999520605</v>
      </c>
      <c r="AO32">
        <f t="shared" si="47"/>
        <v>81</v>
      </c>
      <c r="AP32" s="474">
        <f t="shared" si="24"/>
        <v>272.33836999520605</v>
      </c>
      <c r="AQ32" s="474"/>
      <c r="AR32" s="6">
        <f t="shared" si="48"/>
        <v>3.6719027143241068</v>
      </c>
      <c r="AS32" s="6">
        <f t="shared" si="25"/>
        <v>1.7196345126633328</v>
      </c>
      <c r="AT32" s="6">
        <f t="shared" si="49"/>
        <v>1.952268201660774</v>
      </c>
      <c r="AU32" s="181">
        <f t="shared" si="50"/>
        <v>0.46832246016623258</v>
      </c>
      <c r="AW32" s="6">
        <f t="shared" si="26"/>
        <v>0.92860263683819988</v>
      </c>
      <c r="AX32" s="6">
        <f t="shared" si="27"/>
        <v>1.7411299440716246</v>
      </c>
      <c r="AY32" s="6">
        <f t="shared" si="28"/>
        <v>0.36605028781139509</v>
      </c>
      <c r="AZ32" s="6"/>
      <c r="BA32" s="181">
        <f t="shared" si="51"/>
        <v>0.20383054858780206</v>
      </c>
      <c r="BB32" s="181">
        <f t="shared" si="29"/>
        <v>0.21718055432446379</v>
      </c>
      <c r="BC32" s="181">
        <f t="shared" si="30"/>
        <v>0.21410931416229961</v>
      </c>
      <c r="BD32" s="181"/>
      <c r="BE32" s="548">
        <f t="shared" si="31"/>
        <v>1.4541412388161517E-2</v>
      </c>
      <c r="BF32" s="548">
        <f t="shared" si="32"/>
        <v>3.8285361118589503E-2</v>
      </c>
      <c r="BG32" s="548">
        <f t="shared" si="33"/>
        <v>3.4042296249400758E-3</v>
      </c>
      <c r="BH32" s="548">
        <f t="shared" si="34"/>
        <v>1.1628124999999998E-2</v>
      </c>
      <c r="BI32">
        <f t="shared" si="35"/>
        <v>3.48E-3</v>
      </c>
      <c r="BJ32" s="474">
        <f t="shared" si="52"/>
        <v>71.339128131691083</v>
      </c>
      <c r="BK32" s="181">
        <f t="shared" si="36"/>
        <v>2.835E-2</v>
      </c>
      <c r="BL32" s="181">
        <f t="shared" si="37"/>
        <v>2.835E-2</v>
      </c>
      <c r="BM32" s="548"/>
      <c r="BO32" s="474">
        <f t="shared" si="53"/>
        <v>56.7</v>
      </c>
      <c r="BP32" s="548">
        <f t="shared" si="38"/>
        <v>0</v>
      </c>
      <c r="BQ32" s="548">
        <f t="shared" si="54"/>
        <v>0</v>
      </c>
      <c r="BR32" s="548">
        <f t="shared" si="39"/>
        <v>4.1258518569945281E-3</v>
      </c>
      <c r="BS32" s="548">
        <f t="shared" si="40"/>
        <v>1.1698646214040443E-2</v>
      </c>
      <c r="BT32" s="658">
        <f t="shared" si="41"/>
        <v>7.610495749516033E-2</v>
      </c>
      <c r="BU32" s="474">
        <f t="shared" si="55"/>
        <v>91.929455566195301</v>
      </c>
      <c r="BV32" s="181">
        <f t="shared" si="56"/>
        <v>0.21996858369788638</v>
      </c>
      <c r="BW32" s="6">
        <f t="shared" si="57"/>
        <v>1.863</v>
      </c>
      <c r="BX32" s="181">
        <f t="shared" si="58"/>
        <v>0.89439659079861067</v>
      </c>
      <c r="BY32" s="6">
        <f t="shared" si="59"/>
        <v>89.439659079861073</v>
      </c>
      <c r="BZ32">
        <f t="shared" si="60"/>
        <v>27</v>
      </c>
      <c r="CB32" s="583">
        <f t="shared" si="42"/>
        <v>-50</v>
      </c>
      <c r="CC32">
        <f t="shared" si="43"/>
        <v>-50</v>
      </c>
    </row>
    <row r="33" spans="5:81" x14ac:dyDescent="0.2">
      <c r="E33" s="178">
        <v>28</v>
      </c>
      <c r="F33" s="225">
        <f t="shared" si="61"/>
        <v>8.4000000000000005E-2</v>
      </c>
      <c r="G33" s="225">
        <f t="shared" si="44"/>
        <v>8.4000000000000005E-2</v>
      </c>
      <c r="H33" s="225">
        <f t="shared" si="0"/>
        <v>1.26</v>
      </c>
      <c r="I33" s="225">
        <f t="shared" si="62"/>
        <v>0.67200000000000004</v>
      </c>
      <c r="J33" s="561">
        <f t="shared" si="1"/>
        <v>12</v>
      </c>
      <c r="K33" s="456">
        <f t="shared" si="2"/>
        <v>15.25</v>
      </c>
      <c r="L33" s="456">
        <f t="shared" si="3"/>
        <v>27.25</v>
      </c>
      <c r="M33" s="456"/>
      <c r="N33" s="225">
        <f t="shared" si="4"/>
        <v>0.55963302752293576</v>
      </c>
      <c r="O33" s="180">
        <f t="shared" si="45"/>
        <v>2.8577782209812521</v>
      </c>
      <c r="P33" s="180">
        <f t="shared" si="5"/>
        <v>2.3370275229357795</v>
      </c>
      <c r="Q33" s="225">
        <f t="shared" si="6"/>
        <v>0.19051854806541682</v>
      </c>
      <c r="R33" s="225">
        <f t="shared" si="7"/>
        <v>0.35722227762265651</v>
      </c>
      <c r="S33" s="456">
        <f t="shared" si="8"/>
        <v>15</v>
      </c>
      <c r="T33" s="225">
        <f t="shared" si="9"/>
        <v>0.63930783242258649</v>
      </c>
      <c r="U33" s="225">
        <f t="shared" si="10"/>
        <v>2.1310261080752886</v>
      </c>
      <c r="V33" s="225">
        <f t="shared" si="11"/>
        <v>1.6768730030756367</v>
      </c>
      <c r="W33" s="205">
        <f t="shared" si="12"/>
        <v>350</v>
      </c>
      <c r="X33" s="456">
        <f t="shared" si="46"/>
        <v>262.61199963823447</v>
      </c>
      <c r="Z33" s="225">
        <f t="shared" si="13"/>
        <v>0.47968545216251629</v>
      </c>
      <c r="AA33" s="181">
        <f t="shared" si="14"/>
        <v>1.258191349934469</v>
      </c>
      <c r="AB33" s="181">
        <f t="shared" si="15"/>
        <v>0.10561881515504945</v>
      </c>
      <c r="AC33" s="181"/>
      <c r="AD33" s="181">
        <f t="shared" si="16"/>
        <v>0.76065573770491812</v>
      </c>
      <c r="AE33" s="565">
        <f t="shared" si="17"/>
        <v>761.59334126040437</v>
      </c>
      <c r="AF33" s="548">
        <f t="shared" si="18"/>
        <v>3.8603278688524589E-2</v>
      </c>
      <c r="AH33" s="181">
        <f t="shared" si="19"/>
        <v>0.52535702146254781</v>
      </c>
      <c r="AI33" s="181">
        <f t="shared" si="20"/>
        <v>0.52535702146254781</v>
      </c>
      <c r="AJ33" s="181">
        <f t="shared" si="21"/>
        <v>1.3743385344167021</v>
      </c>
      <c r="AL33" s="565">
        <f t="shared" si="22"/>
        <v>84</v>
      </c>
      <c r="AM33" s="474">
        <f t="shared" si="23"/>
        <v>262.61199963823447</v>
      </c>
      <c r="AO33">
        <f t="shared" si="47"/>
        <v>84</v>
      </c>
      <c r="AP33" s="474">
        <f t="shared" si="24"/>
        <v>262.61199963823447</v>
      </c>
      <c r="AQ33" s="474"/>
      <c r="AR33" s="6">
        <f t="shared" si="48"/>
        <v>3.8078991111509248</v>
      </c>
      <c r="AS33" s="6">
        <f t="shared" si="25"/>
        <v>1.7511900715418263</v>
      </c>
      <c r="AT33" s="6">
        <f t="shared" si="49"/>
        <v>2.0567090396090988</v>
      </c>
      <c r="AU33" s="181">
        <f t="shared" si="50"/>
        <v>0.45988352643422187</v>
      </c>
      <c r="AW33" s="6">
        <f t="shared" si="26"/>
        <v>0.98066644006342285</v>
      </c>
      <c r="AX33" s="6">
        <f t="shared" si="27"/>
        <v>1.8387495751189178</v>
      </c>
      <c r="AY33" s="6">
        <f t="shared" si="28"/>
        <v>0.39991564659065798</v>
      </c>
      <c r="AZ33" s="6"/>
      <c r="BA33" s="181">
        <f t="shared" si="51"/>
        <v>0.20569220800008056</v>
      </c>
      <c r="BB33" s="181">
        <f t="shared" si="29"/>
        <v>0.22291414393898737</v>
      </c>
      <c r="BC33" s="181">
        <f t="shared" si="30"/>
        <v>0.21976182271156733</v>
      </c>
      <c r="BD33" s="181"/>
      <c r="BE33" s="548">
        <f t="shared" si="31"/>
        <v>1.4808249551181939E-2</v>
      </c>
      <c r="BF33" s="548">
        <f t="shared" si="32"/>
        <v>3.759547828599763E-2</v>
      </c>
      <c r="BG33" s="548">
        <f t="shared" si="33"/>
        <v>3.2826499954779305E-3</v>
      </c>
      <c r="BH33" s="548">
        <f t="shared" si="34"/>
        <v>1.1212834821428572E-2</v>
      </c>
      <c r="BI33">
        <f t="shared" si="35"/>
        <v>3.48E-3</v>
      </c>
      <c r="BJ33" s="474">
        <f t="shared" si="52"/>
        <v>70.379212654086075</v>
      </c>
      <c r="BK33" s="181">
        <f t="shared" si="36"/>
        <v>2.9399999999999999E-2</v>
      </c>
      <c r="BL33" s="181">
        <f t="shared" si="37"/>
        <v>2.9399999999999999E-2</v>
      </c>
      <c r="BM33" s="548"/>
      <c r="BO33" s="474">
        <f t="shared" si="53"/>
        <v>58.8</v>
      </c>
      <c r="BP33" s="548">
        <f t="shared" si="38"/>
        <v>0</v>
      </c>
      <c r="BQ33" s="548">
        <f t="shared" si="54"/>
        <v>0</v>
      </c>
      <c r="BR33" s="548">
        <f t="shared" si="39"/>
        <v>4.3465732849359319E-3</v>
      </c>
      <c r="BS33" s="548">
        <f t="shared" si="40"/>
        <v>1.1178737893593369E-2</v>
      </c>
      <c r="BT33" s="658">
        <f t="shared" si="41"/>
        <v>7.610495749516033E-2</v>
      </c>
      <c r="BU33" s="474">
        <f t="shared" si="55"/>
        <v>91.630268673689628</v>
      </c>
      <c r="BV33" s="181">
        <f t="shared" si="56"/>
        <v>0.2208094813277757</v>
      </c>
      <c r="BW33" s="6">
        <f t="shared" si="57"/>
        <v>1.9319999999999999</v>
      </c>
      <c r="BX33" s="181">
        <f t="shared" si="58"/>
        <v>0.89743194498029222</v>
      </c>
      <c r="BY33" s="6">
        <f t="shared" si="59"/>
        <v>89.743194498029226</v>
      </c>
      <c r="BZ33">
        <f t="shared" si="60"/>
        <v>28.000000000000004</v>
      </c>
      <c r="CB33" s="583">
        <f t="shared" si="42"/>
        <v>-50</v>
      </c>
      <c r="CC33">
        <f t="shared" si="43"/>
        <v>-50</v>
      </c>
    </row>
    <row r="34" spans="5:81" x14ac:dyDescent="0.2">
      <c r="E34" s="178">
        <v>29</v>
      </c>
      <c r="F34" s="225">
        <f t="shared" si="61"/>
        <v>8.6999999999999994E-2</v>
      </c>
      <c r="G34" s="225">
        <f t="shared" si="44"/>
        <v>8.6999999999999994E-2</v>
      </c>
      <c r="H34" s="225">
        <f t="shared" si="0"/>
        <v>1.3049999999999999</v>
      </c>
      <c r="I34" s="225">
        <f t="shared" si="62"/>
        <v>0.69599999999999995</v>
      </c>
      <c r="J34" s="561">
        <f t="shared" si="1"/>
        <v>12</v>
      </c>
      <c r="K34" s="456">
        <f t="shared" si="2"/>
        <v>15.25</v>
      </c>
      <c r="L34" s="456">
        <f t="shared" si="3"/>
        <v>27.25</v>
      </c>
      <c r="M34" s="456"/>
      <c r="N34" s="225">
        <f t="shared" si="4"/>
        <v>0.55963302752293576</v>
      </c>
      <c r="O34" s="180">
        <f t="shared" si="45"/>
        <v>2.8577782209812521</v>
      </c>
      <c r="P34" s="180">
        <f t="shared" si="5"/>
        <v>2.3370275229357795</v>
      </c>
      <c r="Q34" s="225">
        <f t="shared" si="6"/>
        <v>0.19051854806541682</v>
      </c>
      <c r="R34" s="225">
        <f t="shared" si="7"/>
        <v>0.35722227762265651</v>
      </c>
      <c r="S34" s="456">
        <f t="shared" si="8"/>
        <v>15</v>
      </c>
      <c r="T34" s="225">
        <f t="shared" si="9"/>
        <v>0.66214025500910734</v>
      </c>
      <c r="U34" s="225">
        <f t="shared" si="10"/>
        <v>2.2071341833636913</v>
      </c>
      <c r="V34" s="225">
        <f t="shared" si="11"/>
        <v>1.7367613246140523</v>
      </c>
      <c r="W34" s="205">
        <f t="shared" si="12"/>
        <v>350</v>
      </c>
      <c r="X34" s="456">
        <f t="shared" si="46"/>
        <v>253.55641344381257</v>
      </c>
      <c r="Z34" s="225">
        <f t="shared" si="13"/>
        <v>0.47968545216251629</v>
      </c>
      <c r="AA34" s="181">
        <f t="shared" si="14"/>
        <v>1.258191349934469</v>
      </c>
      <c r="AB34" s="181">
        <f t="shared" si="15"/>
        <v>0.10561881515504945</v>
      </c>
      <c r="AC34" s="181"/>
      <c r="AD34" s="181">
        <f t="shared" si="16"/>
        <v>0.76065573770491812</v>
      </c>
      <c r="AE34" s="565">
        <f t="shared" si="17"/>
        <v>788.79310344827582</v>
      </c>
      <c r="AF34" s="548">
        <f t="shared" si="18"/>
        <v>3.8603278688524589E-2</v>
      </c>
      <c r="AH34" s="181">
        <f t="shared" si="19"/>
        <v>0.53465609774615197</v>
      </c>
      <c r="AI34" s="181">
        <f t="shared" si="20"/>
        <v>0.53465609774615197</v>
      </c>
      <c r="AJ34" s="181">
        <f t="shared" si="21"/>
        <v>1.3812267390712236</v>
      </c>
      <c r="AL34" s="565">
        <f t="shared" si="22"/>
        <v>87</v>
      </c>
      <c r="AM34" s="474">
        <f t="shared" si="23"/>
        <v>253.55641344381257</v>
      </c>
      <c r="AO34">
        <f t="shared" si="47"/>
        <v>87</v>
      </c>
      <c r="AP34" s="474">
        <f t="shared" si="24"/>
        <v>253.55641344381257</v>
      </c>
      <c r="AQ34" s="474"/>
      <c r="AR34" s="6">
        <f t="shared" si="48"/>
        <v>3.9438955079777434</v>
      </c>
      <c r="AS34" s="6">
        <f t="shared" si="25"/>
        <v>1.7821869924871734</v>
      </c>
      <c r="AT34" s="6">
        <f t="shared" si="49"/>
        <v>2.1617085154905702</v>
      </c>
      <c r="AU34" s="181">
        <f t="shared" si="50"/>
        <v>0.45188494190126266</v>
      </c>
      <c r="AW34" s="6">
        <f t="shared" si="26"/>
        <v>1.0336684556425606</v>
      </c>
      <c r="AX34" s="6">
        <f t="shared" si="27"/>
        <v>1.9381283543298011</v>
      </c>
      <c r="AY34" s="6">
        <f t="shared" si="28"/>
        <v>0.43534407603629538</v>
      </c>
      <c r="AZ34" s="6"/>
      <c r="BA34" s="181">
        <f t="shared" si="51"/>
        <v>0.20750464925880652</v>
      </c>
      <c r="BB34" s="181">
        <f t="shared" si="29"/>
        <v>0.22853344355190983</v>
      </c>
      <c r="BC34" s="181">
        <f t="shared" si="30"/>
        <v>0.22530165748147876</v>
      </c>
      <c r="BD34" s="181"/>
      <c r="BE34" s="548">
        <f t="shared" si="31"/>
        <v>1.5070362812407107E-2</v>
      </c>
      <c r="BF34" s="548">
        <f t="shared" si="32"/>
        <v>3.6941594000428214E-2</v>
      </c>
      <c r="BG34" s="548">
        <f t="shared" si="33"/>
        <v>3.1694551680476568E-3</v>
      </c>
      <c r="BH34" s="548">
        <f t="shared" si="34"/>
        <v>1.0826185344827585E-2</v>
      </c>
      <c r="BI34">
        <f t="shared" si="35"/>
        <v>3.48E-3</v>
      </c>
      <c r="BJ34" s="474">
        <f t="shared" si="52"/>
        <v>69.487597325710567</v>
      </c>
      <c r="BK34" s="181">
        <f t="shared" si="36"/>
        <v>3.0449999999999994E-2</v>
      </c>
      <c r="BL34" s="181">
        <f t="shared" si="37"/>
        <v>3.0449999999999994E-2</v>
      </c>
      <c r="BM34" s="548"/>
      <c r="BO34" s="474">
        <f t="shared" si="53"/>
        <v>60.899999999999991</v>
      </c>
      <c r="BP34" s="548">
        <f t="shared" si="38"/>
        <v>0</v>
      </c>
      <c r="BQ34" s="548">
        <f t="shared" si="54"/>
        <v>0</v>
      </c>
      <c r="BR34" s="548">
        <f t="shared" si="39"/>
        <v>4.5684753177511412E-3</v>
      </c>
      <c r="BS34" s="548">
        <f t="shared" si="40"/>
        <v>1.0698990828534167E-2</v>
      </c>
      <c r="BT34" s="658">
        <f t="shared" si="41"/>
        <v>7.6104957495160344E-2</v>
      </c>
      <c r="BU34" s="474">
        <f t="shared" si="55"/>
        <v>91.37242364144565</v>
      </c>
      <c r="BV34" s="181">
        <f t="shared" si="56"/>
        <v>0.22176002096715625</v>
      </c>
      <c r="BW34" s="6">
        <f t="shared" si="57"/>
        <v>2.0009999999999999</v>
      </c>
      <c r="BX34" s="181">
        <f t="shared" si="58"/>
        <v>0.90023213532936175</v>
      </c>
      <c r="BY34" s="6">
        <f t="shared" si="59"/>
        <v>90.023213532936168</v>
      </c>
      <c r="BZ34">
        <f t="shared" si="60"/>
        <v>28.999999999999996</v>
      </c>
      <c r="CB34" s="583">
        <f t="shared" si="42"/>
        <v>-50</v>
      </c>
      <c r="CC34">
        <f t="shared" si="43"/>
        <v>-50</v>
      </c>
    </row>
    <row r="35" spans="5:81" x14ac:dyDescent="0.2">
      <c r="E35" s="178">
        <v>30</v>
      </c>
      <c r="F35" s="225">
        <f t="shared" si="61"/>
        <v>0.09</v>
      </c>
      <c r="G35" s="225">
        <f t="shared" si="44"/>
        <v>0.09</v>
      </c>
      <c r="H35" s="225">
        <f t="shared" si="0"/>
        <v>1.3499999999999999</v>
      </c>
      <c r="I35" s="225">
        <f t="shared" si="62"/>
        <v>0.72</v>
      </c>
      <c r="J35" s="561">
        <f t="shared" si="1"/>
        <v>12</v>
      </c>
      <c r="K35" s="456">
        <f t="shared" si="2"/>
        <v>15.25</v>
      </c>
      <c r="L35" s="456">
        <f t="shared" si="3"/>
        <v>27.25</v>
      </c>
      <c r="M35" s="456"/>
      <c r="N35" s="225">
        <f t="shared" si="4"/>
        <v>0.55963302752293576</v>
      </c>
      <c r="O35" s="180">
        <f t="shared" si="45"/>
        <v>2.8577782209812521</v>
      </c>
      <c r="P35" s="180">
        <f t="shared" si="5"/>
        <v>2.3370275229357795</v>
      </c>
      <c r="Q35" s="225">
        <f t="shared" si="6"/>
        <v>0.19051854806541682</v>
      </c>
      <c r="R35" s="225">
        <f t="shared" si="7"/>
        <v>0.35722227762265651</v>
      </c>
      <c r="S35" s="456">
        <f t="shared" si="8"/>
        <v>15</v>
      </c>
      <c r="T35" s="225">
        <f t="shared" si="9"/>
        <v>0.6849726775956283</v>
      </c>
      <c r="U35" s="225">
        <f t="shared" si="10"/>
        <v>2.2832422586520944</v>
      </c>
      <c r="V35" s="225">
        <f t="shared" si="11"/>
        <v>1.7966496461524679</v>
      </c>
      <c r="W35" s="205">
        <f t="shared" si="12"/>
        <v>350</v>
      </c>
      <c r="X35" s="456">
        <f t="shared" si="46"/>
        <v>245.10453299568553</v>
      </c>
      <c r="Z35" s="225">
        <f t="shared" si="13"/>
        <v>0.47968545216251629</v>
      </c>
      <c r="AA35" s="181">
        <f t="shared" si="14"/>
        <v>1.258191349934469</v>
      </c>
      <c r="AB35" s="181">
        <f t="shared" si="15"/>
        <v>0.10561881515504945</v>
      </c>
      <c r="AC35" s="181"/>
      <c r="AD35" s="181">
        <f t="shared" si="16"/>
        <v>0.76065573770491812</v>
      </c>
      <c r="AE35" s="565">
        <f t="shared" si="17"/>
        <v>815.99286563614749</v>
      </c>
      <c r="AF35" s="548">
        <f t="shared" si="18"/>
        <v>3.8603278688524589E-2</v>
      </c>
      <c r="AH35" s="181">
        <f t="shared" si="19"/>
        <v>0.54379618030497934</v>
      </c>
      <c r="AI35" s="181">
        <f t="shared" si="20"/>
        <v>0.54379618030497934</v>
      </c>
      <c r="AJ35" s="181">
        <f t="shared" si="21"/>
        <v>1.387997170596281</v>
      </c>
      <c r="AL35" s="565">
        <f t="shared" si="22"/>
        <v>90</v>
      </c>
      <c r="AM35" s="474">
        <f t="shared" si="23"/>
        <v>245.10453299568553</v>
      </c>
      <c r="AO35">
        <f t="shared" si="47"/>
        <v>90</v>
      </c>
      <c r="AP35" s="474">
        <f t="shared" si="24"/>
        <v>245.10453299568553</v>
      </c>
      <c r="AQ35" s="474"/>
      <c r="AR35" s="6">
        <f t="shared" si="48"/>
        <v>4.0798919048045619</v>
      </c>
      <c r="AS35" s="6">
        <f t="shared" si="25"/>
        <v>1.8126539343499311</v>
      </c>
      <c r="AT35" s="6">
        <f t="shared" si="49"/>
        <v>2.267237970454631</v>
      </c>
      <c r="AU35" s="181">
        <f t="shared" si="50"/>
        <v>0.44428969606163188</v>
      </c>
      <c r="AW35" s="6">
        <f t="shared" si="26"/>
        <v>1.0875923606099587</v>
      </c>
      <c r="AX35" s="6">
        <f t="shared" si="27"/>
        <v>2.0392356761436723</v>
      </c>
      <c r="AY35" s="6">
        <f t="shared" si="28"/>
        <v>0.47234124384471465</v>
      </c>
      <c r="AZ35" s="6"/>
      <c r="BA35" s="181">
        <f t="shared" si="51"/>
        <v>0.2092708055137191</v>
      </c>
      <c r="BB35" s="181">
        <f t="shared" si="29"/>
        <v>0.23404520616980751</v>
      </c>
      <c r="BC35" s="181">
        <f t="shared" si="30"/>
        <v>0.23073547598154762</v>
      </c>
      <c r="BD35" s="181"/>
      <c r="BE35" s="548">
        <f t="shared" si="31"/>
        <v>1.5327994514126295E-2</v>
      </c>
      <c r="BF35" s="548">
        <f t="shared" si="32"/>
        <v>3.6320682653038408E-2</v>
      </c>
      <c r="BG35" s="548">
        <f t="shared" si="33"/>
        <v>3.063806662446069E-3</v>
      </c>
      <c r="BH35" s="548">
        <f t="shared" si="34"/>
        <v>1.0465312500000002E-2</v>
      </c>
      <c r="BI35">
        <f t="shared" si="35"/>
        <v>3.48E-3</v>
      </c>
      <c r="BJ35" s="474">
        <f t="shared" si="52"/>
        <v>68.657796329610775</v>
      </c>
      <c r="BK35" s="181">
        <f t="shared" si="36"/>
        <v>3.15E-2</v>
      </c>
      <c r="BL35" s="181">
        <f t="shared" si="37"/>
        <v>3.15E-2</v>
      </c>
      <c r="BM35" s="548"/>
      <c r="BO35" s="474">
        <f t="shared" si="53"/>
        <v>63</v>
      </c>
      <c r="BP35" s="548">
        <f t="shared" si="38"/>
        <v>0</v>
      </c>
      <c r="BQ35" s="548">
        <f t="shared" si="54"/>
        <v>0</v>
      </c>
      <c r="BR35" s="548">
        <f t="shared" si="39"/>
        <v>4.7914973888788202E-3</v>
      </c>
      <c r="BS35" s="548">
        <f t="shared" si="40"/>
        <v>1.0255072716521551E-2</v>
      </c>
      <c r="BT35" s="658">
        <f t="shared" si="41"/>
        <v>7.610495749516033E-2</v>
      </c>
      <c r="BU35" s="474">
        <f t="shared" si="55"/>
        <v>91.151527600560698</v>
      </c>
      <c r="BV35" s="181">
        <f t="shared" si="56"/>
        <v>0.22280932393017147</v>
      </c>
      <c r="BW35" s="6">
        <f t="shared" si="57"/>
        <v>2.0699999999999998</v>
      </c>
      <c r="BX35" s="181">
        <f t="shared" si="58"/>
        <v>0.90282256723021026</v>
      </c>
      <c r="BY35" s="6">
        <f t="shared" si="59"/>
        <v>90.282256723021021</v>
      </c>
      <c r="BZ35">
        <f t="shared" si="60"/>
        <v>30</v>
      </c>
      <c r="CB35" s="583">
        <f t="shared" si="42"/>
        <v>-50</v>
      </c>
      <c r="CC35">
        <f t="shared" si="43"/>
        <v>-50</v>
      </c>
    </row>
    <row r="36" spans="5:81" x14ac:dyDescent="0.2">
      <c r="E36" s="178">
        <v>31</v>
      </c>
      <c r="F36" s="225">
        <f t="shared" si="61"/>
        <v>9.2999999999999999E-2</v>
      </c>
      <c r="G36" s="225">
        <f t="shared" si="44"/>
        <v>9.2999999999999999E-2</v>
      </c>
      <c r="H36" s="225">
        <f t="shared" si="0"/>
        <v>1.395</v>
      </c>
      <c r="I36" s="225">
        <f t="shared" si="62"/>
        <v>0.74399999999999999</v>
      </c>
      <c r="J36" s="561">
        <f t="shared" si="1"/>
        <v>12</v>
      </c>
      <c r="K36" s="456">
        <f t="shared" si="2"/>
        <v>15.25</v>
      </c>
      <c r="L36" s="456">
        <f t="shared" si="3"/>
        <v>27.25</v>
      </c>
      <c r="M36" s="456"/>
      <c r="N36" s="225">
        <f t="shared" si="4"/>
        <v>0.55963302752293576</v>
      </c>
      <c r="O36" s="180">
        <f t="shared" si="45"/>
        <v>2.8577782209812521</v>
      </c>
      <c r="P36" s="180">
        <f t="shared" si="5"/>
        <v>2.3370275229357795</v>
      </c>
      <c r="Q36" s="225">
        <f t="shared" si="6"/>
        <v>0.19051854806541682</v>
      </c>
      <c r="R36" s="225">
        <f t="shared" si="7"/>
        <v>0.35722227762265651</v>
      </c>
      <c r="S36" s="456">
        <f t="shared" si="8"/>
        <v>15</v>
      </c>
      <c r="T36" s="225">
        <f t="shared" si="9"/>
        <v>0.70780510018214937</v>
      </c>
      <c r="U36" s="225">
        <f t="shared" si="10"/>
        <v>2.3593503339404984</v>
      </c>
      <c r="V36" s="225">
        <f t="shared" si="11"/>
        <v>1.8565379676908838</v>
      </c>
      <c r="W36" s="205">
        <f t="shared" si="12"/>
        <v>350</v>
      </c>
      <c r="X36" s="456">
        <f t="shared" si="46"/>
        <v>237.1979351571149</v>
      </c>
      <c r="Z36" s="225">
        <f t="shared" si="13"/>
        <v>0.47968545216251629</v>
      </c>
      <c r="AA36" s="181">
        <f t="shared" si="14"/>
        <v>1.258191349934469</v>
      </c>
      <c r="AB36" s="181">
        <f t="shared" si="15"/>
        <v>0.10561881515504945</v>
      </c>
      <c r="AC36" s="181"/>
      <c r="AD36" s="181">
        <f t="shared" si="16"/>
        <v>0.76065573770491812</v>
      </c>
      <c r="AE36" s="565">
        <f t="shared" si="17"/>
        <v>843.19262782401904</v>
      </c>
      <c r="AF36" s="548">
        <f t="shared" si="18"/>
        <v>3.8603278688524589E-2</v>
      </c>
      <c r="AH36" s="181">
        <f t="shared" si="19"/>
        <v>0.5527851558891832</v>
      </c>
      <c r="AI36" s="181">
        <f t="shared" si="20"/>
        <v>0.5527851558891832</v>
      </c>
      <c r="AJ36" s="181">
        <f t="shared" si="21"/>
        <v>1.3946556710290245</v>
      </c>
      <c r="AL36" s="565">
        <f t="shared" si="22"/>
        <v>93</v>
      </c>
      <c r="AM36" s="474">
        <f t="shared" si="23"/>
        <v>237.1979351571149</v>
      </c>
      <c r="AO36">
        <f t="shared" si="47"/>
        <v>93</v>
      </c>
      <c r="AP36" s="474">
        <f t="shared" si="24"/>
        <v>237.1979351571149</v>
      </c>
      <c r="AQ36" s="474"/>
      <c r="AR36" s="6">
        <f t="shared" si="48"/>
        <v>4.2158883016313835</v>
      </c>
      <c r="AS36" s="6">
        <f t="shared" si="25"/>
        <v>1.8426171862972776</v>
      </c>
      <c r="AT36" s="6">
        <f t="shared" si="49"/>
        <v>2.3732711153341057</v>
      </c>
      <c r="AU36" s="181">
        <f t="shared" si="50"/>
        <v>0.43706499187472708</v>
      </c>
      <c r="AW36" s="6">
        <f t="shared" si="26"/>
        <v>1.142422655504312</v>
      </c>
      <c r="AX36" s="6">
        <f t="shared" si="27"/>
        <v>2.142042479070585</v>
      </c>
      <c r="AY36" s="6">
        <f t="shared" si="28"/>
        <v>0.51091253177331442</v>
      </c>
      <c r="AZ36" s="6"/>
      <c r="BA36" s="181">
        <f t="shared" si="51"/>
        <v>0.21099334424393593</v>
      </c>
      <c r="BB36" s="181">
        <f t="shared" si="29"/>
        <v>0.23945553144979298</v>
      </c>
      <c r="BC36" s="181">
        <f t="shared" si="30"/>
        <v>0.23606929161110904</v>
      </c>
      <c r="BD36" s="181"/>
      <c r="BE36" s="548">
        <f t="shared" si="31"/>
        <v>1.5581366960334016E-2</v>
      </c>
      <c r="BF36" s="548">
        <f t="shared" si="32"/>
        <v>3.5730063085758941E-2</v>
      </c>
      <c r="BG36" s="548">
        <f t="shared" si="33"/>
        <v>2.9649741894639359E-3</v>
      </c>
      <c r="BH36" s="548">
        <f t="shared" si="34"/>
        <v>1.0127721774193545E-2</v>
      </c>
      <c r="BI36">
        <f t="shared" si="35"/>
        <v>3.48E-3</v>
      </c>
      <c r="BJ36" s="474">
        <f t="shared" si="52"/>
        <v>67.884126009750432</v>
      </c>
      <c r="BK36" s="181">
        <f t="shared" si="36"/>
        <v>3.2549999999999996E-2</v>
      </c>
      <c r="BL36" s="181">
        <f t="shared" si="37"/>
        <v>3.2549999999999996E-2</v>
      </c>
      <c r="BM36" s="548"/>
      <c r="BO36" s="474">
        <f t="shared" si="53"/>
        <v>65.099999999999994</v>
      </c>
      <c r="BP36" s="548">
        <f t="shared" si="38"/>
        <v>0</v>
      </c>
      <c r="BQ36" s="548">
        <f t="shared" si="54"/>
        <v>0</v>
      </c>
      <c r="BR36" s="548">
        <f t="shared" si="39"/>
        <v>5.015583939759375E-3</v>
      </c>
      <c r="BS36" s="548">
        <f t="shared" si="40"/>
        <v>9.843242742783467E-3</v>
      </c>
      <c r="BT36" s="658">
        <f t="shared" si="41"/>
        <v>7.6104957495160316E-2</v>
      </c>
      <c r="BU36" s="474">
        <f t="shared" si="55"/>
        <v>90.963784177703161</v>
      </c>
      <c r="BV36" s="181">
        <f t="shared" si="56"/>
        <v>0.22394791018745358</v>
      </c>
      <c r="BW36" s="6">
        <f t="shared" si="57"/>
        <v>2.1390000000000002</v>
      </c>
      <c r="BX36" s="181">
        <f t="shared" si="58"/>
        <v>0.90522520228992787</v>
      </c>
      <c r="BY36" s="6">
        <f t="shared" si="59"/>
        <v>90.522520228992789</v>
      </c>
      <c r="BZ36">
        <f t="shared" si="60"/>
        <v>31</v>
      </c>
      <c r="CB36" s="583">
        <f t="shared" si="42"/>
        <v>-50</v>
      </c>
      <c r="CC36">
        <f t="shared" si="43"/>
        <v>-50</v>
      </c>
    </row>
    <row r="37" spans="5:81" x14ac:dyDescent="0.2">
      <c r="E37" s="178">
        <v>32</v>
      </c>
      <c r="F37" s="225">
        <f t="shared" si="61"/>
        <v>9.6000000000000002E-2</v>
      </c>
      <c r="G37" s="225">
        <f t="shared" si="44"/>
        <v>9.6000000000000002E-2</v>
      </c>
      <c r="H37" s="225">
        <f t="shared" ref="H37:H68" si="63">F37*Vout</f>
        <v>1.44</v>
      </c>
      <c r="I37" s="225">
        <f t="shared" si="62"/>
        <v>0.76800000000000002</v>
      </c>
      <c r="J37" s="561">
        <f t="shared" si="1"/>
        <v>12</v>
      </c>
      <c r="K37" s="456">
        <f t="shared" si="2"/>
        <v>15.25</v>
      </c>
      <c r="L37" s="456">
        <f t="shared" si="3"/>
        <v>27.25</v>
      </c>
      <c r="M37" s="456"/>
      <c r="N37" s="225">
        <f t="shared" si="4"/>
        <v>0.55963302752293576</v>
      </c>
      <c r="O37" s="180">
        <f t="shared" si="45"/>
        <v>2.8577782209812521</v>
      </c>
      <c r="P37" s="180">
        <f t="shared" ref="P37:P68" si="64">N37*J37*Isw_max*0.5*Efficiency*(Pout2/Pout_total)</f>
        <v>2.3370275229357795</v>
      </c>
      <c r="Q37" s="225">
        <f t="shared" si="6"/>
        <v>0.19051854806541682</v>
      </c>
      <c r="R37" s="225">
        <f t="shared" ref="R37:R68" si="65">O37/Vout2</f>
        <v>0.35722227762265651</v>
      </c>
      <c r="S37" s="456">
        <f t="shared" ref="S37:S68" si="66">MIN(Vout,O37/F37)</f>
        <v>15</v>
      </c>
      <c r="T37" s="225">
        <f t="shared" ref="T37:T68" si="67">MIN(2*(Vout*F37+Vout2*G37)/(Efficiency*J37*N37), Isw_max)</f>
        <v>0.73063752276867033</v>
      </c>
      <c r="U37" s="225">
        <f t="shared" si="10"/>
        <v>2.4354584092289016</v>
      </c>
      <c r="V37" s="225">
        <f t="shared" si="11"/>
        <v>1.9164262892292994</v>
      </c>
      <c r="W37" s="205">
        <f t="shared" si="12"/>
        <v>350</v>
      </c>
      <c r="X37" s="456">
        <f t="shared" si="46"/>
        <v>229.7854996834551</v>
      </c>
      <c r="Z37" s="225">
        <f t="shared" si="13"/>
        <v>0.47968545216251629</v>
      </c>
      <c r="AA37" s="181">
        <f t="shared" si="14"/>
        <v>1.258191349934469</v>
      </c>
      <c r="AB37" s="181">
        <f t="shared" ref="AB37:AB68" si="68">0.5*AA37*Z37*Nps*W37/1000*(Pout/Pout_total)</f>
        <v>0.10561881515504945</v>
      </c>
      <c r="AC37" s="181"/>
      <c r="AD37" s="181">
        <f t="shared" si="16"/>
        <v>0.76065573770491812</v>
      </c>
      <c r="AE37" s="565">
        <f t="shared" ref="AE37:AE68" si="69">MAX(10, F37/(0.5*AD37/1000000*Isw_min*Nps)/1000*Pout_total/Pout)</f>
        <v>870.3923900118906</v>
      </c>
      <c r="AF37" s="548">
        <f t="shared" ref="AF37:AF68" si="70">0.5*AD37/1000000*Isw_min*Nps*W37*1000*(Pout/Pout_total)</f>
        <v>3.8603278688524589E-2</v>
      </c>
      <c r="AH37" s="181">
        <f t="shared" ref="AH37:AH68" si="71">SQRT((H37+I37)/(0.5*L*Fsw_DCM))</f>
        <v>0.56163028001397097</v>
      </c>
      <c r="AI37" s="181">
        <f t="shared" ref="AI37:AI68" si="72">MAX(IF(F37&gt;AB37,T37,AH37),Isw_min)</f>
        <v>0.56163028001397097</v>
      </c>
      <c r="AJ37" s="181">
        <f t="shared" ref="AJ37:AJ68" si="73">IF(F37&gt;AF37, (AI37-Isw_min)/1.08*0.8+1.2, AE37*0.2/350+1)</f>
        <v>1.4012076148251635</v>
      </c>
      <c r="AL37" s="565">
        <f t="shared" ref="AL37:AL68" si="74">F37*1000</f>
        <v>96</v>
      </c>
      <c r="AM37" s="474">
        <f t="shared" ref="AM37:AM68" si="75">IF(F37&gt;AF37, X37, AE37)</f>
        <v>229.7854996834551</v>
      </c>
      <c r="AO37">
        <f t="shared" si="47"/>
        <v>96</v>
      </c>
      <c r="AP37" s="474">
        <f t="shared" si="24"/>
        <v>229.7854996834551</v>
      </c>
      <c r="AQ37" s="474"/>
      <c r="AR37" s="6">
        <f t="shared" si="48"/>
        <v>4.3518846984582007</v>
      </c>
      <c r="AS37" s="6">
        <f t="shared" si="25"/>
        <v>1.8721009333799035</v>
      </c>
      <c r="AT37" s="6">
        <f t="shared" si="49"/>
        <v>2.479783765078297</v>
      </c>
      <c r="AU37" s="181">
        <f t="shared" si="50"/>
        <v>0.4301816484345638</v>
      </c>
      <c r="AW37" s="6">
        <f t="shared" ref="AW37:AW68" si="76">F37*AS37/Vout_ripple*1000</f>
        <v>1.1981445973631384</v>
      </c>
      <c r="AX37" s="6">
        <f t="shared" ref="AX37:AX68" si="77">G37*AS37/Vout_ripple2*1000</f>
        <v>2.2465211200558839</v>
      </c>
      <c r="AY37" s="6">
        <f t="shared" si="28"/>
        <v>0.55106305890628815</v>
      </c>
      <c r="AZ37" s="6"/>
      <c r="BA37" s="181">
        <f t="shared" si="51"/>
        <v>0.212674699028432</v>
      </c>
      <c r="BB37" s="181">
        <f t="shared" ref="BB37:BB68" si="78">AI37*Npri_sec1*SQRT((1-AU37)/3)*(Pout/Pout_total)</f>
        <v>0.24476995227360526</v>
      </c>
      <c r="BC37" s="181">
        <f t="shared" ref="BC37:BC68" si="79">AI37*Npri_sec2*SQRT((1-AU37)/3)*(Pout2/Pout_total)</f>
        <v>0.24130855900913004</v>
      </c>
      <c r="BD37" s="181"/>
      <c r="BE37" s="548">
        <f t="shared" si="31"/>
        <v>1.5830684662391948E-2</v>
      </c>
      <c r="BF37" s="548">
        <f t="shared" si="32"/>
        <v>3.5167349759525589E-2</v>
      </c>
      <c r="BG37" s="548">
        <f t="shared" si="33"/>
        <v>2.8723187460431886E-3</v>
      </c>
      <c r="BH37" s="548">
        <f t="shared" si="34"/>
        <v>9.8112304687499995E-3</v>
      </c>
      <c r="BI37">
        <f t="shared" si="35"/>
        <v>3.48E-3</v>
      </c>
      <c r="BJ37" s="474">
        <f t="shared" si="52"/>
        <v>67.161583636710716</v>
      </c>
      <c r="BK37" s="181">
        <f t="shared" ref="BK37:BK68" si="80">Vfwd2*F37</f>
        <v>3.3599999999999998E-2</v>
      </c>
      <c r="BL37" s="181">
        <f t="shared" ref="BL37:BL68" si="81">Vfwd2*G37</f>
        <v>3.3599999999999998E-2</v>
      </c>
      <c r="BM37" s="548"/>
      <c r="BO37" s="474">
        <f t="shared" si="53"/>
        <v>67.2</v>
      </c>
      <c r="BP37" s="548">
        <f t="shared" si="38"/>
        <v>0</v>
      </c>
      <c r="BQ37" s="548">
        <f t="shared" si="54"/>
        <v>0</v>
      </c>
      <c r="BR37" s="548">
        <f t="shared" ref="BR37:BR68" si="82">Rdcr_sec2*BC37^2</f>
        <v>5.2406838585956515E-3</v>
      </c>
      <c r="BS37" s="548">
        <f t="shared" si="40"/>
        <v>9.4602549300892066E-3</v>
      </c>
      <c r="BT37" s="658">
        <f t="shared" ref="BT37:BT68" si="83">0.5*Lleak*0.000000001*AI37^2*AM37*1000</f>
        <v>7.610495749516033E-2</v>
      </c>
      <c r="BU37" s="474">
        <f t="shared" si="55"/>
        <v>90.8058962838452</v>
      </c>
      <c r="BV37" s="181">
        <f t="shared" si="56"/>
        <v>0.22516747992055591</v>
      </c>
      <c r="BW37" s="6">
        <f t="shared" si="57"/>
        <v>2.2080000000000002</v>
      </c>
      <c r="BX37" s="181">
        <f t="shared" si="58"/>
        <v>0.90745911172217875</v>
      </c>
      <c r="BY37" s="6">
        <f t="shared" si="59"/>
        <v>90.745911172217873</v>
      </c>
      <c r="BZ37">
        <f t="shared" si="60"/>
        <v>32</v>
      </c>
      <c r="CB37" s="583">
        <f t="shared" ref="CB37:CB68" si="84">IF(ABS(F37-Ioutmax_Vinnom)&lt;Iout/200, AM37, -50)</f>
        <v>-50</v>
      </c>
      <c r="CC37">
        <f t="shared" ref="CC37:CC68" si="85">IF(ABS(F37-Ioutmax_Vinnom)&lt;Iout/200, (O37+P37)*BX37, -50)</f>
        <v>-50</v>
      </c>
    </row>
    <row r="38" spans="5:81" x14ac:dyDescent="0.2">
      <c r="E38" s="178">
        <v>33</v>
      </c>
      <c r="F38" s="225">
        <f t="shared" si="61"/>
        <v>9.9000000000000005E-2</v>
      </c>
      <c r="G38" s="225">
        <f t="shared" ref="G38:G69" si="86">IF(PLOT_TYPE=1, E38/100*Iout2, min_I*EXP(Q38*rr/100))</f>
        <v>9.9000000000000005E-2</v>
      </c>
      <c r="H38" s="225">
        <f t="shared" si="63"/>
        <v>1.4850000000000001</v>
      </c>
      <c r="I38" s="225">
        <f t="shared" si="62"/>
        <v>0.79200000000000004</v>
      </c>
      <c r="J38" s="561">
        <f t="shared" si="1"/>
        <v>12</v>
      </c>
      <c r="K38" s="456">
        <f t="shared" si="2"/>
        <v>15.25</v>
      </c>
      <c r="L38" s="456">
        <f t="shared" si="3"/>
        <v>27.25</v>
      </c>
      <c r="M38" s="456"/>
      <c r="N38" s="225">
        <f t="shared" si="4"/>
        <v>0.55963302752293576</v>
      </c>
      <c r="O38" s="180">
        <f t="shared" ref="O38:O69" si="87">N38*J38*Isw_max*0.5*Efficiency*Pout/(Pout+Pout2)</f>
        <v>2.8577782209812521</v>
      </c>
      <c r="P38" s="180">
        <f t="shared" si="64"/>
        <v>2.3370275229357795</v>
      </c>
      <c r="Q38" s="225">
        <f t="shared" si="6"/>
        <v>0.19051854806541682</v>
      </c>
      <c r="R38" s="225">
        <f t="shared" si="65"/>
        <v>0.35722227762265651</v>
      </c>
      <c r="S38" s="456">
        <f t="shared" si="66"/>
        <v>15</v>
      </c>
      <c r="T38" s="225">
        <f t="shared" si="67"/>
        <v>0.7534699453551913</v>
      </c>
      <c r="U38" s="225">
        <f t="shared" si="10"/>
        <v>2.5115664845173042</v>
      </c>
      <c r="V38" s="225">
        <f t="shared" si="11"/>
        <v>1.976314610767715</v>
      </c>
      <c r="W38" s="205">
        <f t="shared" si="12"/>
        <v>350</v>
      </c>
      <c r="X38" s="456">
        <f t="shared" si="46"/>
        <v>222.82230272335045</v>
      </c>
      <c r="Z38" s="225">
        <f t="shared" si="13"/>
        <v>0.47968545216251629</v>
      </c>
      <c r="AA38" s="181">
        <f t="shared" si="14"/>
        <v>1.258191349934469</v>
      </c>
      <c r="AB38" s="181">
        <f t="shared" si="68"/>
        <v>0.10561881515504945</v>
      </c>
      <c r="AC38" s="181"/>
      <c r="AD38" s="181">
        <f t="shared" si="16"/>
        <v>0.76065573770491812</v>
      </c>
      <c r="AE38" s="565">
        <f t="shared" si="69"/>
        <v>897.59215219976215</v>
      </c>
      <c r="AF38" s="548">
        <f t="shared" si="70"/>
        <v>3.8603278688524589E-2</v>
      </c>
      <c r="AH38" s="181">
        <f t="shared" si="71"/>
        <v>0.57033824550499357</v>
      </c>
      <c r="AI38" s="181">
        <f t="shared" si="72"/>
        <v>0.57033824550499357</v>
      </c>
      <c r="AJ38" s="181">
        <f t="shared" si="73"/>
        <v>1.4076579596333285</v>
      </c>
      <c r="AL38" s="565">
        <f t="shared" si="74"/>
        <v>99</v>
      </c>
      <c r="AM38" s="474">
        <f t="shared" si="75"/>
        <v>222.82230272335045</v>
      </c>
      <c r="AO38">
        <f t="shared" si="47"/>
        <v>99</v>
      </c>
      <c r="AP38" s="474">
        <f t="shared" si="24"/>
        <v>222.82230272335045</v>
      </c>
      <c r="AQ38" s="474"/>
      <c r="AR38" s="6">
        <f t="shared" si="48"/>
        <v>4.4878810952850188</v>
      </c>
      <c r="AS38" s="6">
        <f t="shared" si="25"/>
        <v>1.9011274850166453</v>
      </c>
      <c r="AT38" s="6">
        <f t="shared" si="49"/>
        <v>2.5867536102683735</v>
      </c>
      <c r="AU38" s="181">
        <f t="shared" si="50"/>
        <v>0.42361360398206083</v>
      </c>
      <c r="AW38" s="6">
        <f t="shared" si="76"/>
        <v>1.254744140110986</v>
      </c>
      <c r="AX38" s="6">
        <f t="shared" si="77"/>
        <v>2.3526452627080987</v>
      </c>
      <c r="AY38" s="6">
        <f t="shared" si="28"/>
        <v>0.59279770235316886</v>
      </c>
      <c r="AZ38" s="6"/>
      <c r="BA38" s="181">
        <f t="shared" si="51"/>
        <v>0.21431709665232837</v>
      </c>
      <c r="BB38" s="181">
        <f t="shared" si="78"/>
        <v>0.24999350693785624</v>
      </c>
      <c r="BC38" s="181">
        <f t="shared" si="79"/>
        <v>0.24645824522358351</v>
      </c>
      <c r="BD38" s="181"/>
      <c r="BE38" s="548">
        <f t="shared" si="31"/>
        <v>1.6076136271119208E-2</v>
      </c>
      <c r="BF38" s="548">
        <f t="shared" si="32"/>
        <v>3.4630412125533472E-2</v>
      </c>
      <c r="BG38" s="548">
        <f t="shared" si="33"/>
        <v>2.7852787840418804E-3</v>
      </c>
      <c r="BH38" s="548">
        <f t="shared" si="34"/>
        <v>9.5139204545454537E-3</v>
      </c>
      <c r="BI38">
        <f t="shared" si="35"/>
        <v>3.48E-3</v>
      </c>
      <c r="BJ38" s="474">
        <f t="shared" si="52"/>
        <v>66.485747635240017</v>
      </c>
      <c r="BK38" s="181">
        <f t="shared" si="80"/>
        <v>3.465E-2</v>
      </c>
      <c r="BL38" s="181">
        <f t="shared" si="81"/>
        <v>3.465E-2</v>
      </c>
      <c r="BM38" s="548"/>
      <c r="BO38" s="474">
        <f t="shared" si="53"/>
        <v>69.3</v>
      </c>
      <c r="BP38" s="548">
        <f t="shared" si="38"/>
        <v>0</v>
      </c>
      <c r="BQ38" s="548">
        <f t="shared" si="54"/>
        <v>0</v>
      </c>
      <c r="BR38" s="548">
        <f t="shared" si="82"/>
        <v>5.4667499974819216E-3</v>
      </c>
      <c r="BS38" s="548">
        <f t="shared" si="40"/>
        <v>9.1032797217958546E-3</v>
      </c>
      <c r="BT38" s="658">
        <f t="shared" si="83"/>
        <v>7.6104957495160344E-2</v>
      </c>
      <c r="BU38" s="474">
        <f t="shared" si="55"/>
        <v>90.674987214438119</v>
      </c>
      <c r="BV38" s="181">
        <f t="shared" si="56"/>
        <v>0.22646073484967816</v>
      </c>
      <c r="BW38" s="6">
        <f t="shared" si="57"/>
        <v>2.2770000000000001</v>
      </c>
      <c r="BX38" s="181">
        <f t="shared" si="58"/>
        <v>0.90954092800529729</v>
      </c>
      <c r="BY38" s="6">
        <f t="shared" si="59"/>
        <v>90.954092800529736</v>
      </c>
      <c r="BZ38">
        <f t="shared" ref="BZ38:BZ69" si="88">F38/Iout*100</f>
        <v>33</v>
      </c>
      <c r="CB38" s="583">
        <f t="shared" si="84"/>
        <v>-50</v>
      </c>
      <c r="CC38">
        <f t="shared" si="85"/>
        <v>-50</v>
      </c>
    </row>
    <row r="39" spans="5:81" x14ac:dyDescent="0.2">
      <c r="E39" s="178">
        <v>34</v>
      </c>
      <c r="F39" s="225">
        <f t="shared" si="61"/>
        <v>0.10200000000000001</v>
      </c>
      <c r="G39" s="225">
        <f t="shared" si="86"/>
        <v>0.10200000000000001</v>
      </c>
      <c r="H39" s="225">
        <f t="shared" si="63"/>
        <v>1.53</v>
      </c>
      <c r="I39" s="225">
        <f t="shared" si="62"/>
        <v>0.81600000000000006</v>
      </c>
      <c r="J39" s="561">
        <f t="shared" si="1"/>
        <v>12</v>
      </c>
      <c r="K39" s="456">
        <f t="shared" si="2"/>
        <v>15.25</v>
      </c>
      <c r="L39" s="456">
        <f t="shared" si="3"/>
        <v>27.25</v>
      </c>
      <c r="M39" s="456"/>
      <c r="N39" s="225">
        <f t="shared" si="4"/>
        <v>0.55963302752293576</v>
      </c>
      <c r="O39" s="180">
        <f t="shared" si="87"/>
        <v>2.8577782209812521</v>
      </c>
      <c r="P39" s="180">
        <f t="shared" si="64"/>
        <v>2.3370275229357795</v>
      </c>
      <c r="Q39" s="225">
        <f t="shared" si="6"/>
        <v>0.19051854806541682</v>
      </c>
      <c r="R39" s="225">
        <f t="shared" si="65"/>
        <v>0.35722227762265651</v>
      </c>
      <c r="S39" s="456">
        <f t="shared" si="66"/>
        <v>15</v>
      </c>
      <c r="T39" s="225">
        <f t="shared" si="67"/>
        <v>0.77630236794171215</v>
      </c>
      <c r="U39" s="225">
        <f t="shared" si="10"/>
        <v>2.5876745598057074</v>
      </c>
      <c r="V39" s="225">
        <f t="shared" si="11"/>
        <v>2.0362029323061304</v>
      </c>
      <c r="W39" s="205">
        <f t="shared" si="12"/>
        <v>350</v>
      </c>
      <c r="X39" s="456">
        <f t="shared" si="46"/>
        <v>216.26870558442837</v>
      </c>
      <c r="Z39" s="225">
        <f t="shared" si="13"/>
        <v>0.47968545216251629</v>
      </c>
      <c r="AA39" s="181">
        <f t="shared" si="14"/>
        <v>1.258191349934469</v>
      </c>
      <c r="AB39" s="181">
        <f t="shared" si="68"/>
        <v>0.10561881515504945</v>
      </c>
      <c r="AC39" s="181"/>
      <c r="AD39" s="181">
        <f t="shared" si="16"/>
        <v>0.76065573770491812</v>
      </c>
      <c r="AE39" s="565">
        <f t="shared" si="69"/>
        <v>924.79191438763382</v>
      </c>
      <c r="AF39" s="548">
        <f t="shared" si="70"/>
        <v>3.8603278688524589E-2</v>
      </c>
      <c r="AH39" s="181">
        <f t="shared" si="71"/>
        <v>0.57891524176070641</v>
      </c>
      <c r="AI39" s="181">
        <f t="shared" si="72"/>
        <v>0.57891524176070641</v>
      </c>
      <c r="AJ39" s="181">
        <f t="shared" si="73"/>
        <v>1.4140112901931159</v>
      </c>
      <c r="AL39" s="565">
        <f t="shared" si="74"/>
        <v>102.00000000000001</v>
      </c>
      <c r="AM39" s="474">
        <f t="shared" si="75"/>
        <v>216.26870558442837</v>
      </c>
      <c r="AO39">
        <f t="shared" si="47"/>
        <v>102.00000000000001</v>
      </c>
      <c r="AP39" s="474">
        <f t="shared" si="24"/>
        <v>216.26870558442837</v>
      </c>
      <c r="AQ39" s="474"/>
      <c r="AR39" s="6">
        <f t="shared" si="48"/>
        <v>4.6238774921118377</v>
      </c>
      <c r="AS39" s="6">
        <f t="shared" si="25"/>
        <v>1.929717472535688</v>
      </c>
      <c r="AT39" s="6">
        <f t="shared" si="49"/>
        <v>2.6941600195761497</v>
      </c>
      <c r="AU39" s="181">
        <f t="shared" si="50"/>
        <v>0.41733749992894792</v>
      </c>
      <c r="AW39" s="6">
        <f t="shared" si="76"/>
        <v>1.3122078813242679</v>
      </c>
      <c r="AX39" s="6">
        <f t="shared" si="77"/>
        <v>2.4603897774830021</v>
      </c>
      <c r="AY39" s="6">
        <f t="shared" si="28"/>
        <v>0.63612111573325747</v>
      </c>
      <c r="AZ39" s="6"/>
      <c r="BA39" s="181">
        <f t="shared" si="51"/>
        <v>0.21592258035311682</v>
      </c>
      <c r="BB39" s="181">
        <f t="shared" si="78"/>
        <v>0.25513079980264541</v>
      </c>
      <c r="BC39" s="181">
        <f t="shared" si="79"/>
        <v>0.25152288950240598</v>
      </c>
      <c r="BD39" s="181"/>
      <c r="BE39" s="548">
        <f t="shared" si="31"/>
        <v>1.6317896247221866E-2</v>
      </c>
      <c r="BF39" s="548">
        <f t="shared" si="32"/>
        <v>3.4117340619191493E-2</v>
      </c>
      <c r="BG39" s="548">
        <f t="shared" si="33"/>
        <v>2.7033588198053546E-3</v>
      </c>
      <c r="BH39" s="548">
        <f t="shared" si="34"/>
        <v>9.234099264705883E-3</v>
      </c>
      <c r="BI39">
        <f t="shared" si="35"/>
        <v>3.48E-3</v>
      </c>
      <c r="BJ39" s="474">
        <f t="shared" si="52"/>
        <v>65.852694950924587</v>
      </c>
      <c r="BK39" s="181">
        <f t="shared" si="80"/>
        <v>3.5700000000000003E-2</v>
      </c>
      <c r="BL39" s="181">
        <f t="shared" si="81"/>
        <v>3.5700000000000003E-2</v>
      </c>
      <c r="BM39" s="548"/>
      <c r="BO39" s="474">
        <f t="shared" si="53"/>
        <v>71.400000000000006</v>
      </c>
      <c r="BP39" s="548">
        <f t="shared" si="38"/>
        <v>0</v>
      </c>
      <c r="BQ39" s="548">
        <f t="shared" si="54"/>
        <v>0</v>
      </c>
      <c r="BR39" s="548">
        <f t="shared" si="82"/>
        <v>5.6937387549275574E-3</v>
      </c>
      <c r="BS39" s="548">
        <f t="shared" si="40"/>
        <v>8.7698399249174844E-3</v>
      </c>
      <c r="BT39" s="658">
        <f t="shared" si="83"/>
        <v>7.6104957495160344E-2</v>
      </c>
      <c r="BU39" s="474">
        <f t="shared" si="55"/>
        <v>90.568536175005391</v>
      </c>
      <c r="BV39" s="181">
        <f t="shared" si="56"/>
        <v>0.22782123112593</v>
      </c>
      <c r="BW39" s="6">
        <f t="shared" si="57"/>
        <v>2.3460000000000001</v>
      </c>
      <c r="BX39" s="181">
        <f t="shared" si="58"/>
        <v>0.91148521568987584</v>
      </c>
      <c r="BY39" s="6">
        <f t="shared" si="59"/>
        <v>91.14852156898759</v>
      </c>
      <c r="BZ39">
        <f t="shared" si="88"/>
        <v>34</v>
      </c>
      <c r="CB39" s="583">
        <f t="shared" si="84"/>
        <v>-50</v>
      </c>
      <c r="CC39">
        <f t="shared" si="85"/>
        <v>-50</v>
      </c>
    </row>
    <row r="40" spans="5:81" x14ac:dyDescent="0.2">
      <c r="E40" s="178">
        <v>35</v>
      </c>
      <c r="F40" s="225">
        <f t="shared" ref="F40:F71" si="89">IF(PLOT_TYPE=1, E40/100*Iout_max, min_I*EXP(O40*rr/100))</f>
        <v>0.105</v>
      </c>
      <c r="G40" s="225">
        <f t="shared" si="86"/>
        <v>0.105</v>
      </c>
      <c r="H40" s="225">
        <f t="shared" si="63"/>
        <v>1.575</v>
      </c>
      <c r="I40" s="225">
        <f t="shared" ref="I40:I71" si="90">Vout2*G40</f>
        <v>0.84</v>
      </c>
      <c r="J40" s="561">
        <f t="shared" si="1"/>
        <v>12</v>
      </c>
      <c r="K40" s="456">
        <f t="shared" si="2"/>
        <v>15.25</v>
      </c>
      <c r="L40" s="456">
        <f t="shared" si="3"/>
        <v>27.25</v>
      </c>
      <c r="M40" s="456"/>
      <c r="N40" s="225">
        <f t="shared" si="4"/>
        <v>0.55963302752293576</v>
      </c>
      <c r="O40" s="180">
        <f t="shared" si="87"/>
        <v>2.8577782209812521</v>
      </c>
      <c r="P40" s="180">
        <f t="shared" si="64"/>
        <v>2.3370275229357795</v>
      </c>
      <c r="Q40" s="225">
        <f t="shared" si="6"/>
        <v>0.19051854806541682</v>
      </c>
      <c r="R40" s="225">
        <f t="shared" si="65"/>
        <v>0.35722227762265651</v>
      </c>
      <c r="S40" s="456">
        <f t="shared" si="66"/>
        <v>15</v>
      </c>
      <c r="T40" s="225">
        <f t="shared" si="67"/>
        <v>0.79913479052823311</v>
      </c>
      <c r="U40" s="225">
        <f t="shared" si="10"/>
        <v>2.6637826350941105</v>
      </c>
      <c r="V40" s="225">
        <f t="shared" si="11"/>
        <v>2.0960912538445462</v>
      </c>
      <c r="W40" s="205">
        <f t="shared" si="12"/>
        <v>350</v>
      </c>
      <c r="X40" s="456">
        <f t="shared" si="46"/>
        <v>210.08959971058755</v>
      </c>
      <c r="Z40" s="225">
        <f t="shared" si="13"/>
        <v>0.47968545216251629</v>
      </c>
      <c r="AA40" s="181">
        <f t="shared" si="14"/>
        <v>1.258191349934469</v>
      </c>
      <c r="AB40" s="181">
        <f t="shared" si="68"/>
        <v>0.10561881515504945</v>
      </c>
      <c r="AC40" s="181"/>
      <c r="AD40" s="181">
        <f t="shared" si="16"/>
        <v>0.76065573770491812</v>
      </c>
      <c r="AE40" s="565">
        <f t="shared" si="69"/>
        <v>951.99167657550527</v>
      </c>
      <c r="AF40" s="548">
        <f t="shared" si="70"/>
        <v>3.8603278688524589E-2</v>
      </c>
      <c r="AH40" s="181">
        <f t="shared" si="71"/>
        <v>0.58736700622353655</v>
      </c>
      <c r="AI40" s="181">
        <f t="shared" si="72"/>
        <v>0.58736700622353655</v>
      </c>
      <c r="AJ40" s="181">
        <f t="shared" si="73"/>
        <v>1.4202718564618788</v>
      </c>
      <c r="AL40" s="565">
        <f t="shared" si="74"/>
        <v>105</v>
      </c>
      <c r="AM40" s="474">
        <f t="shared" si="75"/>
        <v>210.08959971058755</v>
      </c>
      <c r="AO40">
        <f t="shared" si="47"/>
        <v>105</v>
      </c>
      <c r="AP40" s="474">
        <f t="shared" si="24"/>
        <v>210.08959971058755</v>
      </c>
      <c r="AQ40" s="474"/>
      <c r="AR40" s="6">
        <f t="shared" si="48"/>
        <v>4.7598738889386567</v>
      </c>
      <c r="AS40" s="6">
        <f t="shared" si="25"/>
        <v>1.957890020745122</v>
      </c>
      <c r="AT40" s="6">
        <f t="shared" si="49"/>
        <v>2.8019838681935347</v>
      </c>
      <c r="AU40" s="181">
        <f t="shared" si="50"/>
        <v>0.41133233073569658</v>
      </c>
      <c r="AW40" s="6">
        <f t="shared" si="76"/>
        <v>1.3705230145215854</v>
      </c>
      <c r="AX40" s="6">
        <f t="shared" si="77"/>
        <v>2.5697306522279728</v>
      </c>
      <c r="AY40" s="6">
        <f t="shared" si="28"/>
        <v>0.68103774574148412</v>
      </c>
      <c r="AZ40" s="6"/>
      <c r="BA40" s="181">
        <f t="shared" si="51"/>
        <v>0.21749302985292451</v>
      </c>
      <c r="BB40" s="181">
        <f t="shared" si="78"/>
        <v>0.26018605259582017</v>
      </c>
      <c r="BC40" s="181">
        <f t="shared" si="79"/>
        <v>0.25650665387224292</v>
      </c>
      <c r="BD40" s="181"/>
      <c r="BE40" s="548">
        <f t="shared" si="31"/>
        <v>1.6556126312111789E-2</v>
      </c>
      <c r="BF40" s="548">
        <f t="shared" si="32"/>
        <v>3.3626418037643199E-2</v>
      </c>
      <c r="BG40" s="548">
        <f t="shared" si="33"/>
        <v>2.6261199963823444E-3</v>
      </c>
      <c r="BH40" s="548">
        <f t="shared" si="34"/>
        <v>8.9702678571428572E-3</v>
      </c>
      <c r="BI40">
        <f t="shared" si="35"/>
        <v>3.48E-3</v>
      </c>
      <c r="BJ40" s="474">
        <f t="shared" si="52"/>
        <v>65.258932203280196</v>
      </c>
      <c r="BK40" s="181">
        <f t="shared" si="80"/>
        <v>3.6749999999999998E-2</v>
      </c>
      <c r="BL40" s="181">
        <f t="shared" si="81"/>
        <v>3.6749999999999998E-2</v>
      </c>
      <c r="BM40" s="548"/>
      <c r="BO40" s="474">
        <f t="shared" si="53"/>
        <v>73.5</v>
      </c>
      <c r="BP40" s="548">
        <f t="shared" si="38"/>
        <v>0</v>
      </c>
      <c r="BQ40" s="548">
        <f t="shared" si="54"/>
        <v>0</v>
      </c>
      <c r="BR40" s="548">
        <f t="shared" si="82"/>
        <v>5.9216097132661167E-3</v>
      </c>
      <c r="BS40" s="548">
        <f t="shared" si="40"/>
        <v>8.4577580496894011E-3</v>
      </c>
      <c r="BT40" s="658">
        <f t="shared" si="83"/>
        <v>7.6104957495160344E-2</v>
      </c>
      <c r="BU40" s="474">
        <f t="shared" si="55"/>
        <v>90.484325258115859</v>
      </c>
      <c r="BV40" s="181">
        <f t="shared" si="56"/>
        <v>0.22924325746139607</v>
      </c>
      <c r="BW40" s="6">
        <f t="shared" si="57"/>
        <v>2.415</v>
      </c>
      <c r="BX40" s="181">
        <f t="shared" si="58"/>
        <v>0.91330477753341011</v>
      </c>
      <c r="BY40" s="6">
        <f t="shared" si="59"/>
        <v>91.330477753341015</v>
      </c>
      <c r="BZ40">
        <f t="shared" si="88"/>
        <v>35</v>
      </c>
      <c r="CB40" s="583">
        <f t="shared" si="84"/>
        <v>-50</v>
      </c>
      <c r="CC40">
        <f t="shared" si="85"/>
        <v>-50</v>
      </c>
    </row>
    <row r="41" spans="5:81" x14ac:dyDescent="0.2">
      <c r="E41" s="178">
        <v>36</v>
      </c>
      <c r="F41" s="225">
        <f t="shared" si="89"/>
        <v>0.108</v>
      </c>
      <c r="G41" s="225">
        <f t="shared" si="86"/>
        <v>0.108</v>
      </c>
      <c r="H41" s="225">
        <f t="shared" si="63"/>
        <v>1.6199999999999999</v>
      </c>
      <c r="I41" s="225">
        <f t="shared" si="90"/>
        <v>0.86399999999999999</v>
      </c>
      <c r="J41" s="561">
        <f t="shared" si="1"/>
        <v>12</v>
      </c>
      <c r="K41" s="456">
        <f t="shared" si="2"/>
        <v>15.25</v>
      </c>
      <c r="L41" s="456">
        <f t="shared" si="3"/>
        <v>27.25</v>
      </c>
      <c r="M41" s="456"/>
      <c r="N41" s="225">
        <f t="shared" si="4"/>
        <v>0.55963302752293576</v>
      </c>
      <c r="O41" s="180">
        <f t="shared" si="87"/>
        <v>2.8577782209812521</v>
      </c>
      <c r="P41" s="180">
        <f t="shared" si="64"/>
        <v>2.3370275229357795</v>
      </c>
      <c r="Q41" s="225">
        <f t="shared" si="6"/>
        <v>0.19051854806541682</v>
      </c>
      <c r="R41" s="225">
        <f t="shared" si="65"/>
        <v>0.35722227762265651</v>
      </c>
      <c r="S41" s="456">
        <f t="shared" si="66"/>
        <v>15</v>
      </c>
      <c r="T41" s="225">
        <f t="shared" si="67"/>
        <v>0.82196721311475407</v>
      </c>
      <c r="U41" s="225">
        <f t="shared" si="10"/>
        <v>2.7398907103825141</v>
      </c>
      <c r="V41" s="225">
        <f t="shared" si="11"/>
        <v>2.1559795753829616</v>
      </c>
      <c r="W41" s="205">
        <f t="shared" si="12"/>
        <v>350</v>
      </c>
      <c r="X41" s="456">
        <f t="shared" si="46"/>
        <v>204.25377749640455</v>
      </c>
      <c r="Z41" s="225">
        <f t="shared" si="13"/>
        <v>0.47968545216251629</v>
      </c>
      <c r="AA41" s="181">
        <f t="shared" si="14"/>
        <v>1.258191349934469</v>
      </c>
      <c r="AB41" s="181">
        <f t="shared" si="68"/>
        <v>0.10561881515504945</v>
      </c>
      <c r="AC41" s="181"/>
      <c r="AD41" s="181">
        <f t="shared" si="16"/>
        <v>0.76065573770491812</v>
      </c>
      <c r="AE41" s="565">
        <f t="shared" si="69"/>
        <v>979.19143876337694</v>
      </c>
      <c r="AF41" s="548">
        <f t="shared" si="70"/>
        <v>3.8603278688524589E-2</v>
      </c>
      <c r="AH41" s="181">
        <f t="shared" si="71"/>
        <v>0.5956988692763675</v>
      </c>
      <c r="AI41" s="181">
        <f t="shared" si="72"/>
        <v>0.82196721311475407</v>
      </c>
      <c r="AJ41" s="181">
        <f t="shared" si="73"/>
        <v>1.5940497874924104</v>
      </c>
      <c r="AL41" s="565">
        <f t="shared" si="74"/>
        <v>108</v>
      </c>
      <c r="AM41" s="474">
        <f t="shared" si="75"/>
        <v>204.25377749640455</v>
      </c>
      <c r="AO41">
        <f t="shared" si="47"/>
        <v>108</v>
      </c>
      <c r="AP41" s="474">
        <f t="shared" si="24"/>
        <v>204.25377749640455</v>
      </c>
      <c r="AQ41" s="474"/>
      <c r="AR41" s="6">
        <f t="shared" si="48"/>
        <v>4.8958702857654757</v>
      </c>
      <c r="AS41" s="6">
        <f t="shared" si="25"/>
        <v>2.7398907103825141</v>
      </c>
      <c r="AT41" s="6">
        <f t="shared" si="49"/>
        <v>2.1559795753829616</v>
      </c>
      <c r="AU41" s="181">
        <f t="shared" si="50"/>
        <v>0.55963302752293587</v>
      </c>
      <c r="AW41" s="6">
        <f t="shared" si="76"/>
        <v>1.9727213114754103</v>
      </c>
      <c r="AX41" s="6">
        <f t="shared" si="77"/>
        <v>3.6988524590163943</v>
      </c>
      <c r="AY41" s="6">
        <f t="shared" si="28"/>
        <v>0.53899489384574029</v>
      </c>
      <c r="AZ41" s="6"/>
      <c r="BA41" s="181">
        <f t="shared" si="51"/>
        <v>0.35501404574691919</v>
      </c>
      <c r="BB41" s="181">
        <f t="shared" si="78"/>
        <v>0.31492072092451495</v>
      </c>
      <c r="BC41" s="181">
        <f t="shared" si="79"/>
        <v>0.31046729658820865</v>
      </c>
      <c r="BD41" s="181"/>
      <c r="BE41" s="548">
        <f t="shared" si="31"/>
        <v>4.4112240437158473E-2</v>
      </c>
      <c r="BF41" s="548">
        <f t="shared" si="32"/>
        <v>4.5749999999999992E-2</v>
      </c>
      <c r="BG41" s="548">
        <f t="shared" si="33"/>
        <v>2.5531722187050569E-3</v>
      </c>
      <c r="BH41" s="548">
        <f t="shared" si="34"/>
        <v>8.7210937500000005E-3</v>
      </c>
      <c r="BI41">
        <f t="shared" si="35"/>
        <v>3.48E-3</v>
      </c>
      <c r="BJ41" s="474">
        <f t="shared" si="52"/>
        <v>104.61650640586352</v>
      </c>
      <c r="BK41" s="181">
        <f t="shared" si="80"/>
        <v>3.78E-2</v>
      </c>
      <c r="BL41" s="181">
        <f t="shared" si="81"/>
        <v>3.78E-2</v>
      </c>
      <c r="BM41" s="548"/>
      <c r="BO41" s="474">
        <f t="shared" si="53"/>
        <v>75.599999999999994</v>
      </c>
      <c r="BP41" s="548">
        <f t="shared" si="38"/>
        <v>0</v>
      </c>
      <c r="BQ41" s="548">
        <f t="shared" si="54"/>
        <v>0</v>
      </c>
      <c r="BR41" s="548">
        <f t="shared" si="82"/>
        <v>8.6750948025711636E-3</v>
      </c>
      <c r="BS41" s="548">
        <f t="shared" si="40"/>
        <v>1.8261291279606049E-2</v>
      </c>
      <c r="BT41" s="658">
        <f t="shared" si="83"/>
        <v>0.1449</v>
      </c>
      <c r="BU41" s="474">
        <f t="shared" si="55"/>
        <v>171.83638608217723</v>
      </c>
      <c r="BV41" s="181">
        <f t="shared" si="56"/>
        <v>0.35205289248804073</v>
      </c>
      <c r="BW41" s="6">
        <f t="shared" si="57"/>
        <v>2.484</v>
      </c>
      <c r="BX41" s="181">
        <f t="shared" si="58"/>
        <v>0.87586518805042868</v>
      </c>
      <c r="BY41" s="6">
        <f t="shared" si="59"/>
        <v>87.586518805042871</v>
      </c>
      <c r="BZ41">
        <f t="shared" si="88"/>
        <v>36</v>
      </c>
      <c r="CB41" s="583">
        <f t="shared" si="84"/>
        <v>-50</v>
      </c>
      <c r="CC41">
        <f t="shared" si="85"/>
        <v>-50</v>
      </c>
    </row>
    <row r="42" spans="5:81" x14ac:dyDescent="0.2">
      <c r="E42" s="178">
        <v>37</v>
      </c>
      <c r="F42" s="225">
        <f t="shared" si="89"/>
        <v>0.111</v>
      </c>
      <c r="G42" s="225">
        <f t="shared" si="86"/>
        <v>0.111</v>
      </c>
      <c r="H42" s="225">
        <f t="shared" si="63"/>
        <v>1.665</v>
      </c>
      <c r="I42" s="225">
        <f t="shared" si="90"/>
        <v>0.88800000000000001</v>
      </c>
      <c r="J42" s="561">
        <f t="shared" si="1"/>
        <v>12</v>
      </c>
      <c r="K42" s="456">
        <f t="shared" si="2"/>
        <v>15.25</v>
      </c>
      <c r="L42" s="456">
        <f t="shared" si="3"/>
        <v>27.25</v>
      </c>
      <c r="M42" s="456"/>
      <c r="N42" s="225">
        <f t="shared" si="4"/>
        <v>0.55963302752293576</v>
      </c>
      <c r="O42" s="180">
        <f t="shared" si="87"/>
        <v>2.8577782209812521</v>
      </c>
      <c r="P42" s="180">
        <f t="shared" si="64"/>
        <v>2.3370275229357795</v>
      </c>
      <c r="Q42" s="225">
        <f t="shared" si="6"/>
        <v>0.19051854806541682</v>
      </c>
      <c r="R42" s="225">
        <f t="shared" si="65"/>
        <v>0.35722227762265651</v>
      </c>
      <c r="S42" s="456">
        <f t="shared" si="66"/>
        <v>15</v>
      </c>
      <c r="T42" s="225">
        <f t="shared" si="67"/>
        <v>0.84479963570127492</v>
      </c>
      <c r="U42" s="225">
        <f t="shared" si="10"/>
        <v>2.8159987856709163</v>
      </c>
      <c r="V42" s="225">
        <f t="shared" si="11"/>
        <v>2.215867896921377</v>
      </c>
      <c r="W42" s="205">
        <f t="shared" si="12"/>
        <v>350</v>
      </c>
      <c r="X42" s="456">
        <f t="shared" si="46"/>
        <v>198.73340513163691</v>
      </c>
      <c r="Z42" s="225">
        <f t="shared" si="13"/>
        <v>0.47968545216251629</v>
      </c>
      <c r="AA42" s="181">
        <f t="shared" si="14"/>
        <v>1.258191349934469</v>
      </c>
      <c r="AB42" s="181">
        <f t="shared" si="68"/>
        <v>0.10561881515504945</v>
      </c>
      <c r="AC42" s="181"/>
      <c r="AD42" s="181">
        <f t="shared" si="16"/>
        <v>0.76065573770491812</v>
      </c>
      <c r="AE42" s="565">
        <f t="shared" si="69"/>
        <v>1006.3912009512484</v>
      </c>
      <c r="AF42" s="548">
        <f t="shared" si="70"/>
        <v>3.8603278688524589E-2</v>
      </c>
      <c r="AH42" s="181">
        <f t="shared" si="71"/>
        <v>0.60391579356255098</v>
      </c>
      <c r="AI42" s="181">
        <f t="shared" si="72"/>
        <v>0.84479963570127492</v>
      </c>
      <c r="AJ42" s="181">
        <f t="shared" si="73"/>
        <v>1.6109626931120555</v>
      </c>
      <c r="AL42" s="565">
        <f t="shared" si="74"/>
        <v>111</v>
      </c>
      <c r="AM42" s="474">
        <f t="shared" si="75"/>
        <v>198.73340513163691</v>
      </c>
      <c r="AO42">
        <f t="shared" si="47"/>
        <v>111</v>
      </c>
      <c r="AP42" s="474">
        <f t="shared" si="24"/>
        <v>198.73340513163691</v>
      </c>
      <c r="AQ42" s="474"/>
      <c r="AR42" s="6">
        <f t="shared" si="48"/>
        <v>5.0318666825922929</v>
      </c>
      <c r="AS42" s="6">
        <f t="shared" si="25"/>
        <v>2.8159987856709163</v>
      </c>
      <c r="AT42" s="6">
        <f t="shared" si="49"/>
        <v>2.2158678969213765</v>
      </c>
      <c r="AU42" s="181">
        <f t="shared" si="50"/>
        <v>0.55963302752293576</v>
      </c>
      <c r="AW42" s="6">
        <f t="shared" si="76"/>
        <v>2.0838391013964781</v>
      </c>
      <c r="AX42" s="6">
        <f t="shared" si="77"/>
        <v>3.9071983151183964</v>
      </c>
      <c r="AY42" s="6">
        <f t="shared" si="28"/>
        <v>0.5693549457367425</v>
      </c>
      <c r="AZ42" s="6"/>
      <c r="BA42" s="181">
        <f t="shared" si="51"/>
        <v>0.36487554701766689</v>
      </c>
      <c r="BB42" s="181">
        <f t="shared" si="78"/>
        <v>0.32366851872797364</v>
      </c>
      <c r="BC42" s="181">
        <f t="shared" si="79"/>
        <v>0.3190913881601033</v>
      </c>
      <c r="BD42" s="181"/>
      <c r="BE42" s="548">
        <f t="shared" si="31"/>
        <v>4.659695768400457E-2</v>
      </c>
      <c r="BF42" s="548">
        <f t="shared" si="32"/>
        <v>4.5750000000000013E-2</v>
      </c>
      <c r="BG42" s="548">
        <f t="shared" si="33"/>
        <v>2.4841675641454615E-3</v>
      </c>
      <c r="BH42" s="548">
        <f t="shared" si="34"/>
        <v>8.4853885135135147E-3</v>
      </c>
      <c r="BI42">
        <f t="shared" si="35"/>
        <v>3.48E-3</v>
      </c>
      <c r="BJ42" s="474">
        <f t="shared" si="52"/>
        <v>106.79651376166356</v>
      </c>
      <c r="BK42" s="181">
        <f t="shared" si="80"/>
        <v>3.8849999999999996E-2</v>
      </c>
      <c r="BL42" s="181">
        <f t="shared" si="81"/>
        <v>3.8849999999999996E-2</v>
      </c>
      <c r="BM42" s="548"/>
      <c r="BO42" s="474">
        <f t="shared" si="53"/>
        <v>77.699999999999989</v>
      </c>
      <c r="BP42" s="548">
        <f t="shared" si="38"/>
        <v>0</v>
      </c>
      <c r="BQ42" s="548">
        <f t="shared" si="54"/>
        <v>0</v>
      </c>
      <c r="BR42" s="548">
        <f t="shared" si="82"/>
        <v>9.1637382598147542E-3</v>
      </c>
      <c r="BS42" s="548">
        <f t="shared" si="40"/>
        <v>1.8261291279606073E-2</v>
      </c>
      <c r="BT42" s="658">
        <f t="shared" si="83"/>
        <v>0.148925</v>
      </c>
      <c r="BU42" s="474">
        <f t="shared" si="55"/>
        <v>176.35002953942083</v>
      </c>
      <c r="BV42" s="181">
        <f t="shared" si="56"/>
        <v>0.36084654330108434</v>
      </c>
      <c r="BW42" s="6">
        <f t="shared" si="57"/>
        <v>2.5529999999999999</v>
      </c>
      <c r="BX42" s="181">
        <f t="shared" si="58"/>
        <v>0.87616144572518118</v>
      </c>
      <c r="BY42" s="6">
        <f t="shared" si="59"/>
        <v>87.616144572518124</v>
      </c>
      <c r="BZ42">
        <f t="shared" si="88"/>
        <v>37</v>
      </c>
      <c r="CB42" s="583">
        <f t="shared" si="84"/>
        <v>-50</v>
      </c>
      <c r="CC42">
        <f t="shared" si="85"/>
        <v>-50</v>
      </c>
    </row>
    <row r="43" spans="5:81" x14ac:dyDescent="0.2">
      <c r="E43" s="178">
        <v>38</v>
      </c>
      <c r="F43" s="225">
        <f t="shared" si="89"/>
        <v>0.11399999999999999</v>
      </c>
      <c r="G43" s="225">
        <f t="shared" si="86"/>
        <v>0.11399999999999999</v>
      </c>
      <c r="H43" s="225">
        <f t="shared" si="63"/>
        <v>1.71</v>
      </c>
      <c r="I43" s="225">
        <f t="shared" si="90"/>
        <v>0.91199999999999992</v>
      </c>
      <c r="J43" s="561">
        <f t="shared" si="1"/>
        <v>12</v>
      </c>
      <c r="K43" s="456">
        <f t="shared" si="2"/>
        <v>15.25</v>
      </c>
      <c r="L43" s="456">
        <f t="shared" si="3"/>
        <v>27.25</v>
      </c>
      <c r="M43" s="456"/>
      <c r="N43" s="225">
        <f t="shared" si="4"/>
        <v>0.55963302752293576</v>
      </c>
      <c r="O43" s="180">
        <f t="shared" si="87"/>
        <v>2.8577782209812521</v>
      </c>
      <c r="P43" s="180">
        <f t="shared" si="64"/>
        <v>2.3370275229357795</v>
      </c>
      <c r="Q43" s="225">
        <f t="shared" si="6"/>
        <v>0.19051854806541682</v>
      </c>
      <c r="R43" s="225">
        <f t="shared" si="65"/>
        <v>0.35722227762265651</v>
      </c>
      <c r="S43" s="456">
        <f t="shared" si="66"/>
        <v>15</v>
      </c>
      <c r="T43" s="225">
        <f t="shared" si="67"/>
        <v>0.86763205828779588</v>
      </c>
      <c r="U43" s="225">
        <f t="shared" si="10"/>
        <v>2.8921068609593195</v>
      </c>
      <c r="V43" s="225">
        <f t="shared" si="11"/>
        <v>2.2757562184597924</v>
      </c>
      <c r="W43" s="205">
        <f t="shared" si="12"/>
        <v>350</v>
      </c>
      <c r="X43" s="456">
        <f t="shared" si="46"/>
        <v>193.50357868080437</v>
      </c>
      <c r="Z43" s="225">
        <f t="shared" si="13"/>
        <v>0.47968545216251629</v>
      </c>
      <c r="AA43" s="181">
        <f t="shared" si="14"/>
        <v>1.258191349934469</v>
      </c>
      <c r="AB43" s="181">
        <f t="shared" si="68"/>
        <v>0.10561881515504945</v>
      </c>
      <c r="AC43" s="181"/>
      <c r="AD43" s="181">
        <f t="shared" si="16"/>
        <v>0.76065573770491812</v>
      </c>
      <c r="AE43" s="565">
        <f t="shared" si="69"/>
        <v>1033.59096313912</v>
      </c>
      <c r="AF43" s="548">
        <f t="shared" si="70"/>
        <v>3.8603278688524589E-2</v>
      </c>
      <c r="AH43" s="181">
        <f t="shared" si="71"/>
        <v>0.61202240855333756</v>
      </c>
      <c r="AI43" s="181">
        <f t="shared" si="72"/>
        <v>0.86763205828779588</v>
      </c>
      <c r="AJ43" s="181">
        <f t="shared" si="73"/>
        <v>1.6278755987317006</v>
      </c>
      <c r="AL43" s="565">
        <f t="shared" si="74"/>
        <v>113.99999999999999</v>
      </c>
      <c r="AM43" s="474">
        <f t="shared" si="75"/>
        <v>193.50357868080437</v>
      </c>
      <c r="AO43">
        <f t="shared" si="47"/>
        <v>113.99999999999999</v>
      </c>
      <c r="AP43" s="474">
        <f t="shared" si="24"/>
        <v>193.50357868080437</v>
      </c>
      <c r="AQ43" s="474"/>
      <c r="AR43" s="6">
        <f t="shared" si="48"/>
        <v>5.1678630794191118</v>
      </c>
      <c r="AS43" s="6">
        <f t="shared" si="25"/>
        <v>2.8921068609593195</v>
      </c>
      <c r="AT43" s="6">
        <f t="shared" si="49"/>
        <v>2.2757562184597924</v>
      </c>
      <c r="AU43" s="181">
        <f t="shared" si="50"/>
        <v>0.55963302752293576</v>
      </c>
      <c r="AW43" s="6">
        <f t="shared" si="76"/>
        <v>2.1980012143290826</v>
      </c>
      <c r="AX43" s="6">
        <f t="shared" si="77"/>
        <v>4.1212522768670299</v>
      </c>
      <c r="AY43" s="6">
        <f t="shared" si="28"/>
        <v>0.60054677987133398</v>
      </c>
      <c r="AZ43" s="6"/>
      <c r="BA43" s="181">
        <f t="shared" si="51"/>
        <v>0.37473704828841464</v>
      </c>
      <c r="BB43" s="181">
        <f t="shared" si="78"/>
        <v>0.33241631653143239</v>
      </c>
      <c r="BC43" s="181">
        <f t="shared" si="79"/>
        <v>0.32771547973199799</v>
      </c>
      <c r="BD43" s="181"/>
      <c r="BE43" s="548">
        <f t="shared" si="31"/>
        <v>4.9149749375969762E-2</v>
      </c>
      <c r="BF43" s="548">
        <f t="shared" si="32"/>
        <v>4.5750000000000013E-2</v>
      </c>
      <c r="BG43" s="548">
        <f t="shared" si="33"/>
        <v>2.4187947335100545E-3</v>
      </c>
      <c r="BH43" s="548">
        <f t="shared" si="34"/>
        <v>8.2620888157894749E-3</v>
      </c>
      <c r="BI43">
        <f t="shared" si="35"/>
        <v>3.48E-3</v>
      </c>
      <c r="BJ43" s="474">
        <f t="shared" si="52"/>
        <v>109.06063292526932</v>
      </c>
      <c r="BK43" s="181">
        <f t="shared" si="80"/>
        <v>3.9899999999999991E-2</v>
      </c>
      <c r="BL43" s="181">
        <f t="shared" si="81"/>
        <v>3.9899999999999991E-2</v>
      </c>
      <c r="BM43" s="548"/>
      <c r="BO43" s="474">
        <f t="shared" si="53"/>
        <v>79.799999999999983</v>
      </c>
      <c r="BP43" s="548">
        <f t="shared" si="38"/>
        <v>0</v>
      </c>
      <c r="BQ43" s="548">
        <f t="shared" si="54"/>
        <v>0</v>
      </c>
      <c r="BR43" s="548">
        <f t="shared" si="82"/>
        <v>9.6657692090376234E-3</v>
      </c>
      <c r="BS43" s="548">
        <f t="shared" si="40"/>
        <v>1.8261291279606039E-2</v>
      </c>
      <c r="BT43" s="658">
        <f t="shared" si="83"/>
        <v>0.15295</v>
      </c>
      <c r="BU43" s="474">
        <f t="shared" si="55"/>
        <v>180.87706048864365</v>
      </c>
      <c r="BV43" s="181">
        <f t="shared" si="56"/>
        <v>0.36973769341391294</v>
      </c>
      <c r="BW43" s="6">
        <f t="shared" si="57"/>
        <v>2.6219999999999999</v>
      </c>
      <c r="BX43" s="181">
        <f t="shared" si="58"/>
        <v>0.87641373298606273</v>
      </c>
      <c r="BY43" s="6">
        <f t="shared" si="59"/>
        <v>87.641373298606268</v>
      </c>
      <c r="BZ43">
        <f t="shared" si="88"/>
        <v>38</v>
      </c>
      <c r="CB43" s="583">
        <f t="shared" si="84"/>
        <v>-50</v>
      </c>
      <c r="CC43">
        <f t="shared" si="85"/>
        <v>-50</v>
      </c>
    </row>
    <row r="44" spans="5:81" x14ac:dyDescent="0.2">
      <c r="E44" s="178">
        <v>39</v>
      </c>
      <c r="F44" s="225">
        <f t="shared" si="89"/>
        <v>0.11699999999999999</v>
      </c>
      <c r="G44" s="225">
        <f t="shared" si="86"/>
        <v>0.11699999999999999</v>
      </c>
      <c r="H44" s="225">
        <f t="shared" si="63"/>
        <v>1.7549999999999999</v>
      </c>
      <c r="I44" s="225">
        <f t="shared" si="90"/>
        <v>0.93599999999999994</v>
      </c>
      <c r="J44" s="561">
        <f t="shared" si="1"/>
        <v>12</v>
      </c>
      <c r="K44" s="456">
        <f t="shared" si="2"/>
        <v>15.25</v>
      </c>
      <c r="L44" s="456">
        <f t="shared" si="3"/>
        <v>27.25</v>
      </c>
      <c r="M44" s="456"/>
      <c r="N44" s="225">
        <f t="shared" si="4"/>
        <v>0.55963302752293576</v>
      </c>
      <c r="O44" s="180">
        <f t="shared" si="87"/>
        <v>2.8577782209812521</v>
      </c>
      <c r="P44" s="180">
        <f t="shared" si="64"/>
        <v>2.3370275229357795</v>
      </c>
      <c r="Q44" s="225">
        <f t="shared" si="6"/>
        <v>0.19051854806541682</v>
      </c>
      <c r="R44" s="225">
        <f t="shared" si="65"/>
        <v>0.35722227762265651</v>
      </c>
      <c r="S44" s="456">
        <f t="shared" si="66"/>
        <v>15</v>
      </c>
      <c r="T44" s="225">
        <f t="shared" si="67"/>
        <v>0.89046448087431684</v>
      </c>
      <c r="U44" s="225">
        <f t="shared" si="10"/>
        <v>2.9682149362477235</v>
      </c>
      <c r="V44" s="225">
        <f t="shared" si="11"/>
        <v>2.3356445399982086</v>
      </c>
      <c r="W44" s="205">
        <f t="shared" si="12"/>
        <v>350</v>
      </c>
      <c r="X44" s="456">
        <f t="shared" si="46"/>
        <v>188.54194845821957</v>
      </c>
      <c r="Z44" s="225">
        <f t="shared" si="13"/>
        <v>0.47968545216251629</v>
      </c>
      <c r="AA44" s="181">
        <f t="shared" si="14"/>
        <v>1.258191349934469</v>
      </c>
      <c r="AB44" s="181">
        <f t="shared" si="68"/>
        <v>0.10561881515504945</v>
      </c>
      <c r="AC44" s="181"/>
      <c r="AD44" s="181">
        <f t="shared" si="16"/>
        <v>0.76065573770491812</v>
      </c>
      <c r="AE44" s="565">
        <f t="shared" si="69"/>
        <v>1060.7907253269916</v>
      </c>
      <c r="AF44" s="548">
        <f t="shared" si="70"/>
        <v>3.8603278688524589E-2</v>
      </c>
      <c r="AH44" s="181">
        <f t="shared" si="71"/>
        <v>0.6200230410465174</v>
      </c>
      <c r="AI44" s="181">
        <f t="shared" si="72"/>
        <v>0.89046448087431684</v>
      </c>
      <c r="AJ44" s="181">
        <f t="shared" si="73"/>
        <v>1.6447885043513457</v>
      </c>
      <c r="AL44" s="565">
        <f t="shared" si="74"/>
        <v>117</v>
      </c>
      <c r="AM44" s="474">
        <f t="shared" si="75"/>
        <v>188.54194845821957</v>
      </c>
      <c r="AO44">
        <f t="shared" si="47"/>
        <v>117</v>
      </c>
      <c r="AP44" s="474">
        <f t="shared" si="24"/>
        <v>188.54194845821957</v>
      </c>
      <c r="AQ44" s="474"/>
      <c r="AR44" s="6">
        <f t="shared" si="48"/>
        <v>5.3038594762459326</v>
      </c>
      <c r="AS44" s="6">
        <f t="shared" si="25"/>
        <v>2.9682149362477235</v>
      </c>
      <c r="AT44" s="6">
        <f t="shared" si="49"/>
        <v>2.3356445399982091</v>
      </c>
      <c r="AU44" s="181">
        <f t="shared" si="50"/>
        <v>0.55963302752293576</v>
      </c>
      <c r="AW44" s="6">
        <f t="shared" si="76"/>
        <v>2.3152076502732237</v>
      </c>
      <c r="AX44" s="6">
        <f t="shared" si="77"/>
        <v>4.3410143442622946</v>
      </c>
      <c r="AY44" s="6">
        <f t="shared" si="28"/>
        <v>0.63257039624951472</v>
      </c>
      <c r="AZ44" s="6"/>
      <c r="BA44" s="181">
        <f t="shared" si="51"/>
        <v>0.38459854955916239</v>
      </c>
      <c r="BB44" s="181">
        <f t="shared" si="78"/>
        <v>0.34116411433489113</v>
      </c>
      <c r="BC44" s="181">
        <f t="shared" si="79"/>
        <v>0.33633957130389269</v>
      </c>
      <c r="BD44" s="181"/>
      <c r="BE44" s="548">
        <f t="shared" si="31"/>
        <v>5.1770615513054022E-2</v>
      </c>
      <c r="BF44" s="548">
        <f t="shared" si="32"/>
        <v>4.5749999999999992E-2</v>
      </c>
      <c r="BG44" s="548">
        <f t="shared" si="33"/>
        <v>2.3567743557277444E-3</v>
      </c>
      <c r="BH44" s="548">
        <f t="shared" si="34"/>
        <v>8.0502403846153831E-3</v>
      </c>
      <c r="BI44">
        <f t="shared" si="35"/>
        <v>3.48E-3</v>
      </c>
      <c r="BJ44" s="474">
        <f t="shared" si="52"/>
        <v>111.40763025339714</v>
      </c>
      <c r="BK44" s="181">
        <f t="shared" si="80"/>
        <v>4.0949999999999993E-2</v>
      </c>
      <c r="BL44" s="181">
        <f t="shared" si="81"/>
        <v>4.0949999999999993E-2</v>
      </c>
      <c r="BM44" s="548"/>
      <c r="BO44" s="474">
        <f t="shared" si="53"/>
        <v>81.899999999999991</v>
      </c>
      <c r="BP44" s="548">
        <f t="shared" si="38"/>
        <v>0</v>
      </c>
      <c r="BQ44" s="548">
        <f t="shared" si="54"/>
        <v>0</v>
      </c>
      <c r="BR44" s="548">
        <f t="shared" si="82"/>
        <v>1.0181187650239768E-2</v>
      </c>
      <c r="BS44" s="548">
        <f t="shared" si="40"/>
        <v>1.8261291279606059E-2</v>
      </c>
      <c r="BT44" s="658">
        <f t="shared" si="83"/>
        <v>0.15697499999999995</v>
      </c>
      <c r="BU44" s="474">
        <f t="shared" si="55"/>
        <v>185.41747892984577</v>
      </c>
      <c r="BV44" s="181">
        <f t="shared" si="56"/>
        <v>0.37872510918324287</v>
      </c>
      <c r="BW44" s="6">
        <f t="shared" si="57"/>
        <v>2.6909999999999998</v>
      </c>
      <c r="BX44" s="181">
        <f t="shared" si="58"/>
        <v>0.876625725199215</v>
      </c>
      <c r="BY44" s="6">
        <f t="shared" si="59"/>
        <v>87.662572519921497</v>
      </c>
      <c r="BZ44">
        <f t="shared" si="88"/>
        <v>39</v>
      </c>
      <c r="CB44" s="583">
        <f t="shared" si="84"/>
        <v>-50</v>
      </c>
      <c r="CC44">
        <f t="shared" si="85"/>
        <v>-50</v>
      </c>
    </row>
    <row r="45" spans="5:81" x14ac:dyDescent="0.2">
      <c r="E45" s="178">
        <v>40</v>
      </c>
      <c r="F45" s="225">
        <f t="shared" si="89"/>
        <v>0.12</v>
      </c>
      <c r="G45" s="225">
        <f t="shared" si="86"/>
        <v>0.12</v>
      </c>
      <c r="H45" s="225">
        <f t="shared" si="63"/>
        <v>1.7999999999999998</v>
      </c>
      <c r="I45" s="225">
        <f t="shared" si="90"/>
        <v>0.96</v>
      </c>
      <c r="J45" s="561">
        <f t="shared" si="1"/>
        <v>12</v>
      </c>
      <c r="K45" s="456">
        <f t="shared" si="2"/>
        <v>15.25</v>
      </c>
      <c r="L45" s="456">
        <f t="shared" si="3"/>
        <v>27.25</v>
      </c>
      <c r="M45" s="456"/>
      <c r="N45" s="225">
        <f t="shared" si="4"/>
        <v>0.55963302752293576</v>
      </c>
      <c r="O45" s="180">
        <f t="shared" si="87"/>
        <v>2.8577782209812521</v>
      </c>
      <c r="P45" s="180">
        <f t="shared" si="64"/>
        <v>2.3370275229357795</v>
      </c>
      <c r="Q45" s="225">
        <f t="shared" si="6"/>
        <v>0.19051854806541682</v>
      </c>
      <c r="R45" s="225">
        <f t="shared" si="65"/>
        <v>0.35722227762265651</v>
      </c>
      <c r="S45" s="456">
        <f t="shared" si="66"/>
        <v>15</v>
      </c>
      <c r="T45" s="225">
        <f t="shared" si="67"/>
        <v>0.91329690346083769</v>
      </c>
      <c r="U45" s="225">
        <f t="shared" si="10"/>
        <v>3.0443230115361262</v>
      </c>
      <c r="V45" s="225">
        <f t="shared" si="11"/>
        <v>2.3955328615366236</v>
      </c>
      <c r="W45" s="205">
        <f t="shared" si="12"/>
        <v>350</v>
      </c>
      <c r="X45" s="456">
        <f t="shared" si="46"/>
        <v>183.82839974676412</v>
      </c>
      <c r="Z45" s="225">
        <f t="shared" si="13"/>
        <v>0.47968545216251629</v>
      </c>
      <c r="AA45" s="181">
        <f t="shared" si="14"/>
        <v>1.258191349934469</v>
      </c>
      <c r="AB45" s="181">
        <f t="shared" si="68"/>
        <v>0.10561881515504945</v>
      </c>
      <c r="AC45" s="181"/>
      <c r="AD45" s="181">
        <f t="shared" si="16"/>
        <v>0.76065573770491812</v>
      </c>
      <c r="AE45" s="565">
        <f t="shared" si="69"/>
        <v>1087.9904875148632</v>
      </c>
      <c r="AF45" s="548">
        <f t="shared" si="70"/>
        <v>3.8603278688524589E-2</v>
      </c>
      <c r="AH45" s="181">
        <f t="shared" si="71"/>
        <v>0.62792174216674024</v>
      </c>
      <c r="AI45" s="181">
        <f t="shared" si="72"/>
        <v>0.91329690346083769</v>
      </c>
      <c r="AJ45" s="181">
        <f t="shared" si="73"/>
        <v>1.6617014099709908</v>
      </c>
      <c r="AL45" s="565">
        <f t="shared" si="74"/>
        <v>120</v>
      </c>
      <c r="AM45" s="474">
        <f t="shared" si="75"/>
        <v>183.82839974676412</v>
      </c>
      <c r="AO45">
        <f t="shared" si="47"/>
        <v>120</v>
      </c>
      <c r="AP45" s="474">
        <f t="shared" si="24"/>
        <v>183.82839974676412</v>
      </c>
      <c r="AQ45" s="474"/>
      <c r="AR45" s="6">
        <f t="shared" si="48"/>
        <v>5.4398558730727498</v>
      </c>
      <c r="AS45" s="6">
        <f t="shared" si="25"/>
        <v>3.0443230115361262</v>
      </c>
      <c r="AT45" s="6">
        <f t="shared" si="49"/>
        <v>2.3955328615366236</v>
      </c>
      <c r="AU45" s="181">
        <f t="shared" si="50"/>
        <v>0.55963302752293576</v>
      </c>
      <c r="AW45" s="6">
        <f t="shared" si="76"/>
        <v>2.4354584092289011</v>
      </c>
      <c r="AX45" s="6">
        <f t="shared" si="77"/>
        <v>4.5664845173041888</v>
      </c>
      <c r="AY45" s="6">
        <f t="shared" si="28"/>
        <v>0.66542579487128417</v>
      </c>
      <c r="AZ45" s="6"/>
      <c r="BA45" s="181">
        <f t="shared" si="51"/>
        <v>0.39446005082991009</v>
      </c>
      <c r="BB45" s="181">
        <f t="shared" si="78"/>
        <v>0.34991191213834988</v>
      </c>
      <c r="BC45" s="181">
        <f t="shared" si="79"/>
        <v>0.34496366287578734</v>
      </c>
      <c r="BD45" s="181"/>
      <c r="BE45" s="548">
        <f t="shared" si="31"/>
        <v>5.4459556095257343E-2</v>
      </c>
      <c r="BF45" s="548">
        <f t="shared" si="32"/>
        <v>4.5749999999999999E-2</v>
      </c>
      <c r="BG45" s="548">
        <f t="shared" si="33"/>
        <v>2.2978549968345513E-3</v>
      </c>
      <c r="BH45" s="548">
        <f t="shared" si="34"/>
        <v>7.8489843749999996E-3</v>
      </c>
      <c r="BI45">
        <f t="shared" si="35"/>
        <v>3.48E-3</v>
      </c>
      <c r="BJ45" s="474">
        <f t="shared" si="52"/>
        <v>113.83639546709189</v>
      </c>
      <c r="BK45" s="181">
        <f t="shared" si="80"/>
        <v>4.1999999999999996E-2</v>
      </c>
      <c r="BL45" s="181">
        <f t="shared" si="81"/>
        <v>4.1999999999999996E-2</v>
      </c>
      <c r="BM45" s="548"/>
      <c r="BO45" s="474">
        <f t="shared" si="53"/>
        <v>83.999999999999986</v>
      </c>
      <c r="BP45" s="548">
        <f t="shared" si="38"/>
        <v>0</v>
      </c>
      <c r="BQ45" s="548">
        <f t="shared" si="54"/>
        <v>0</v>
      </c>
      <c r="BR45" s="548">
        <f t="shared" si="82"/>
        <v>1.0709993583421187E-2</v>
      </c>
      <c r="BS45" s="548">
        <f t="shared" si="40"/>
        <v>1.8261291279606066E-2</v>
      </c>
      <c r="BT45" s="658">
        <f t="shared" si="83"/>
        <v>0.16099999999999995</v>
      </c>
      <c r="BU45" s="474">
        <f t="shared" si="55"/>
        <v>189.97128486302719</v>
      </c>
      <c r="BV45" s="181">
        <f t="shared" si="56"/>
        <v>0.38780768033011903</v>
      </c>
      <c r="BW45" s="6">
        <f t="shared" si="57"/>
        <v>2.76</v>
      </c>
      <c r="BX45" s="181">
        <f t="shared" si="58"/>
        <v>0.87680070712279079</v>
      </c>
      <c r="BY45" s="6">
        <f t="shared" si="59"/>
        <v>87.680070712279075</v>
      </c>
      <c r="BZ45">
        <f t="shared" si="88"/>
        <v>40</v>
      </c>
      <c r="CB45" s="583">
        <f t="shared" si="84"/>
        <v>-50</v>
      </c>
      <c r="CC45">
        <f t="shared" si="85"/>
        <v>-50</v>
      </c>
    </row>
    <row r="46" spans="5:81" x14ac:dyDescent="0.2">
      <c r="E46" s="178">
        <v>41</v>
      </c>
      <c r="F46" s="225">
        <f t="shared" si="89"/>
        <v>0.12299999999999998</v>
      </c>
      <c r="G46" s="225">
        <f t="shared" si="86"/>
        <v>0.12299999999999998</v>
      </c>
      <c r="H46" s="225">
        <f t="shared" si="63"/>
        <v>1.8449999999999998</v>
      </c>
      <c r="I46" s="225">
        <f t="shared" si="90"/>
        <v>0.98399999999999987</v>
      </c>
      <c r="J46" s="561">
        <f t="shared" si="1"/>
        <v>12</v>
      </c>
      <c r="K46" s="456">
        <f t="shared" si="2"/>
        <v>15.25</v>
      </c>
      <c r="L46" s="456">
        <f t="shared" si="3"/>
        <v>27.25</v>
      </c>
      <c r="M46" s="456"/>
      <c r="N46" s="225">
        <f t="shared" si="4"/>
        <v>0.55963302752293576</v>
      </c>
      <c r="O46" s="180">
        <f t="shared" si="87"/>
        <v>2.8577782209812521</v>
      </c>
      <c r="P46" s="180">
        <f t="shared" si="64"/>
        <v>2.3370275229357795</v>
      </c>
      <c r="Q46" s="225">
        <f t="shared" si="6"/>
        <v>0.19051854806541682</v>
      </c>
      <c r="R46" s="225">
        <f t="shared" si="65"/>
        <v>0.35722227762265651</v>
      </c>
      <c r="S46" s="456">
        <f t="shared" si="66"/>
        <v>15</v>
      </c>
      <c r="T46" s="225">
        <f t="shared" si="67"/>
        <v>0.93612932604735866</v>
      </c>
      <c r="U46" s="225">
        <f t="shared" si="10"/>
        <v>3.1204310868245293</v>
      </c>
      <c r="V46" s="225">
        <f t="shared" si="11"/>
        <v>2.455421183075039</v>
      </c>
      <c r="W46" s="205">
        <f t="shared" si="12"/>
        <v>350</v>
      </c>
      <c r="X46" s="456">
        <f t="shared" si="46"/>
        <v>179.34478024074548</v>
      </c>
      <c r="Z46" s="225">
        <f t="shared" si="13"/>
        <v>0.47968545216251629</v>
      </c>
      <c r="AA46" s="181">
        <f t="shared" si="14"/>
        <v>1.258191349934469</v>
      </c>
      <c r="AB46" s="181">
        <f t="shared" si="68"/>
        <v>0.10561881515504945</v>
      </c>
      <c r="AC46" s="181"/>
      <c r="AD46" s="181">
        <f t="shared" si="16"/>
        <v>0.76065573770491812</v>
      </c>
      <c r="AE46" s="565">
        <f t="shared" si="69"/>
        <v>1115.1902497027347</v>
      </c>
      <c r="AF46" s="548">
        <f t="shared" si="70"/>
        <v>3.8603278688524589E-2</v>
      </c>
      <c r="AH46" s="181">
        <f t="shared" si="71"/>
        <v>0.63572231134580848</v>
      </c>
      <c r="AI46" s="181">
        <f t="shared" si="72"/>
        <v>0.93612932604735866</v>
      </c>
      <c r="AJ46" s="181">
        <f t="shared" si="73"/>
        <v>1.6786143155906359</v>
      </c>
      <c r="AL46" s="565">
        <f t="shared" si="74"/>
        <v>122.99999999999999</v>
      </c>
      <c r="AM46" s="474">
        <f t="shared" si="75"/>
        <v>179.34478024074548</v>
      </c>
      <c r="AO46">
        <f t="shared" si="47"/>
        <v>122.99999999999999</v>
      </c>
      <c r="AP46" s="474">
        <f t="shared" si="24"/>
        <v>179.34478024074548</v>
      </c>
      <c r="AQ46" s="474"/>
      <c r="AR46" s="6">
        <f t="shared" si="48"/>
        <v>5.5758522698995687</v>
      </c>
      <c r="AS46" s="6">
        <f t="shared" si="25"/>
        <v>3.1204310868245293</v>
      </c>
      <c r="AT46" s="6">
        <f t="shared" si="49"/>
        <v>2.4554211830750394</v>
      </c>
      <c r="AU46" s="181">
        <f t="shared" si="50"/>
        <v>0.55963302752293576</v>
      </c>
      <c r="AW46" s="6">
        <f t="shared" si="76"/>
        <v>2.5587534911961138</v>
      </c>
      <c r="AX46" s="6">
        <f t="shared" si="77"/>
        <v>4.7976627959927134</v>
      </c>
      <c r="AY46" s="6">
        <f t="shared" si="28"/>
        <v>0.69911297573664288</v>
      </c>
      <c r="AZ46" s="6"/>
      <c r="BA46" s="181">
        <f t="shared" si="51"/>
        <v>0.40432155210065784</v>
      </c>
      <c r="BB46" s="181">
        <f t="shared" si="78"/>
        <v>0.35865970994180862</v>
      </c>
      <c r="BC46" s="181">
        <f t="shared" si="79"/>
        <v>0.35358775444768203</v>
      </c>
      <c r="BD46" s="181"/>
      <c r="BE46" s="548">
        <f t="shared" si="31"/>
        <v>5.7216571122579739E-2</v>
      </c>
      <c r="BF46" s="548">
        <f t="shared" si="32"/>
        <v>4.5749999999999992E-2</v>
      </c>
      <c r="BG46" s="548">
        <f t="shared" si="33"/>
        <v>2.2418097530093181E-3</v>
      </c>
      <c r="BH46" s="548">
        <f t="shared" si="34"/>
        <v>7.6575457317073162E-3</v>
      </c>
      <c r="BI46">
        <f t="shared" si="35"/>
        <v>3.48E-3</v>
      </c>
      <c r="BJ46" s="474">
        <f t="shared" si="52"/>
        <v>116.34592660729636</v>
      </c>
      <c r="BK46" s="181">
        <f t="shared" si="80"/>
        <v>4.3049999999999991E-2</v>
      </c>
      <c r="BL46" s="181">
        <f t="shared" si="81"/>
        <v>4.3049999999999991E-2</v>
      </c>
      <c r="BM46" s="548"/>
      <c r="BO46" s="474">
        <f t="shared" si="53"/>
        <v>86.09999999999998</v>
      </c>
      <c r="BP46" s="548">
        <f t="shared" si="38"/>
        <v>0</v>
      </c>
      <c r="BQ46" s="548">
        <f t="shared" si="54"/>
        <v>0</v>
      </c>
      <c r="BR46" s="548">
        <f t="shared" si="82"/>
        <v>1.1252187008581886E-2</v>
      </c>
      <c r="BS46" s="548">
        <f t="shared" si="40"/>
        <v>1.8261291279606046E-2</v>
      </c>
      <c r="BT46" s="658">
        <f t="shared" si="83"/>
        <v>0.16502499999999995</v>
      </c>
      <c r="BU46" s="474">
        <f t="shared" si="55"/>
        <v>194.53847828818789</v>
      </c>
      <c r="BV46" s="181">
        <f t="shared" si="56"/>
        <v>0.3969844048954842</v>
      </c>
      <c r="BW46" s="6">
        <f t="shared" si="57"/>
        <v>2.8289999999999997</v>
      </c>
      <c r="BX46" s="181">
        <f t="shared" si="58"/>
        <v>0.87694162306145873</v>
      </c>
      <c r="BY46" s="6">
        <f t="shared" si="59"/>
        <v>87.69416230614587</v>
      </c>
      <c r="BZ46">
        <f t="shared" si="88"/>
        <v>41</v>
      </c>
      <c r="CB46" s="583">
        <f t="shared" si="84"/>
        <v>-50</v>
      </c>
      <c r="CC46">
        <f t="shared" si="85"/>
        <v>-50</v>
      </c>
    </row>
    <row r="47" spans="5:81" x14ac:dyDescent="0.2">
      <c r="E47" s="178">
        <v>42</v>
      </c>
      <c r="F47" s="225">
        <f t="shared" si="89"/>
        <v>0.126</v>
      </c>
      <c r="G47" s="225">
        <f t="shared" si="86"/>
        <v>0.126</v>
      </c>
      <c r="H47" s="225">
        <f t="shared" si="63"/>
        <v>1.8900000000000001</v>
      </c>
      <c r="I47" s="225">
        <f t="shared" si="90"/>
        <v>1.008</v>
      </c>
      <c r="J47" s="561">
        <f t="shared" si="1"/>
        <v>12</v>
      </c>
      <c r="K47" s="456">
        <f t="shared" si="2"/>
        <v>15.25</v>
      </c>
      <c r="L47" s="456">
        <f t="shared" si="3"/>
        <v>27.25</v>
      </c>
      <c r="M47" s="456"/>
      <c r="N47" s="225">
        <f t="shared" si="4"/>
        <v>0.55963302752293576</v>
      </c>
      <c r="O47" s="180">
        <f t="shared" si="87"/>
        <v>2.8577782209812521</v>
      </c>
      <c r="P47" s="180">
        <f t="shared" si="64"/>
        <v>2.3370275229357795</v>
      </c>
      <c r="Q47" s="225">
        <f t="shared" si="6"/>
        <v>0.19051854806541682</v>
      </c>
      <c r="R47" s="225">
        <f t="shared" si="65"/>
        <v>0.35722227762265651</v>
      </c>
      <c r="S47" s="456">
        <f t="shared" si="66"/>
        <v>15</v>
      </c>
      <c r="T47" s="225">
        <f t="shared" si="67"/>
        <v>0.95896174863387973</v>
      </c>
      <c r="U47" s="225">
        <f t="shared" si="10"/>
        <v>3.1965391621129329</v>
      </c>
      <c r="V47" s="225">
        <f t="shared" si="11"/>
        <v>2.5153095046134553</v>
      </c>
      <c r="W47" s="205">
        <f t="shared" si="12"/>
        <v>350</v>
      </c>
      <c r="X47" s="456">
        <f t="shared" si="46"/>
        <v>175.07466642548962</v>
      </c>
      <c r="Z47" s="225">
        <f t="shared" si="13"/>
        <v>0.47968545216251629</v>
      </c>
      <c r="AA47" s="181">
        <f t="shared" si="14"/>
        <v>1.258191349934469</v>
      </c>
      <c r="AB47" s="181">
        <f t="shared" si="68"/>
        <v>0.10561881515504945</v>
      </c>
      <c r="AC47" s="181"/>
      <c r="AD47" s="181">
        <f t="shared" si="16"/>
        <v>0.76065573770491812</v>
      </c>
      <c r="AE47" s="565">
        <f t="shared" si="69"/>
        <v>1142.3900118906065</v>
      </c>
      <c r="AF47" s="548">
        <f t="shared" si="70"/>
        <v>3.8603278688524589E-2</v>
      </c>
      <c r="AH47" s="181">
        <f t="shared" si="71"/>
        <v>0.64342831768581643</v>
      </c>
      <c r="AI47" s="181">
        <f t="shared" si="72"/>
        <v>0.95896174863387973</v>
      </c>
      <c r="AJ47" s="181">
        <f t="shared" si="73"/>
        <v>1.6955272212102812</v>
      </c>
      <c r="AL47" s="565">
        <f t="shared" si="74"/>
        <v>126</v>
      </c>
      <c r="AM47" s="474">
        <f t="shared" si="75"/>
        <v>175.07466642548962</v>
      </c>
      <c r="AO47">
        <f t="shared" si="47"/>
        <v>126</v>
      </c>
      <c r="AP47" s="474">
        <f t="shared" si="24"/>
        <v>175.07466642548962</v>
      </c>
      <c r="AQ47" s="474"/>
      <c r="AR47" s="6">
        <f t="shared" si="48"/>
        <v>5.7118486667263877</v>
      </c>
      <c r="AS47" s="6">
        <f t="shared" si="25"/>
        <v>3.1965391621129329</v>
      </c>
      <c r="AT47" s="6">
        <f t="shared" si="49"/>
        <v>2.5153095046134548</v>
      </c>
      <c r="AU47" s="181">
        <f t="shared" si="50"/>
        <v>0.55963302752293587</v>
      </c>
      <c r="AW47" s="6">
        <f t="shared" si="76"/>
        <v>2.6850928961748637</v>
      </c>
      <c r="AX47" s="6">
        <f t="shared" si="77"/>
        <v>5.0345491803278692</v>
      </c>
      <c r="AY47" s="6">
        <f t="shared" si="28"/>
        <v>0.73363193884559097</v>
      </c>
      <c r="AZ47" s="6"/>
      <c r="BA47" s="181">
        <f t="shared" si="51"/>
        <v>0.41418305337140571</v>
      </c>
      <c r="BB47" s="181">
        <f t="shared" si="78"/>
        <v>0.36740750774526743</v>
      </c>
      <c r="BC47" s="181">
        <f t="shared" si="79"/>
        <v>0.36221184601957673</v>
      </c>
      <c r="BD47" s="181"/>
      <c r="BE47" s="548">
        <f t="shared" si="31"/>
        <v>6.0041660595021237E-2</v>
      </c>
      <c r="BF47" s="548">
        <f t="shared" si="32"/>
        <v>4.5749999999999999E-2</v>
      </c>
      <c r="BG47" s="548">
        <f t="shared" si="33"/>
        <v>2.1884333303186206E-3</v>
      </c>
      <c r="BH47" s="548">
        <f t="shared" si="34"/>
        <v>7.4752232142857138E-3</v>
      </c>
      <c r="BI47">
        <f t="shared" si="35"/>
        <v>3.48E-3</v>
      </c>
      <c r="BJ47" s="474">
        <f t="shared" si="52"/>
        <v>118.93531713962557</v>
      </c>
      <c r="BK47" s="181">
        <f t="shared" si="80"/>
        <v>4.41E-2</v>
      </c>
      <c r="BL47" s="181">
        <f t="shared" si="81"/>
        <v>4.41E-2</v>
      </c>
      <c r="BM47" s="548"/>
      <c r="BO47" s="474">
        <f t="shared" si="53"/>
        <v>88.2</v>
      </c>
      <c r="BP47" s="548">
        <f t="shared" si="38"/>
        <v>0</v>
      </c>
      <c r="BQ47" s="548">
        <f t="shared" si="54"/>
        <v>0</v>
      </c>
      <c r="BR47" s="548">
        <f t="shared" si="82"/>
        <v>1.1807767925721861E-2</v>
      </c>
      <c r="BS47" s="548">
        <f t="shared" si="40"/>
        <v>1.8261291279606066E-2</v>
      </c>
      <c r="BT47" s="658">
        <f t="shared" si="83"/>
        <v>0.16904999999999998</v>
      </c>
      <c r="BU47" s="474">
        <f t="shared" si="55"/>
        <v>199.11905920532791</v>
      </c>
      <c r="BV47" s="181">
        <f t="shared" si="56"/>
        <v>0.40625437634495348</v>
      </c>
      <c r="BW47" s="6">
        <f t="shared" si="57"/>
        <v>2.8980000000000001</v>
      </c>
      <c r="BX47" s="181">
        <f t="shared" si="58"/>
        <v>0.87705111953446591</v>
      </c>
      <c r="BY47" s="6">
        <f t="shared" si="59"/>
        <v>87.70511195344659</v>
      </c>
      <c r="BZ47">
        <f t="shared" si="88"/>
        <v>42.000000000000007</v>
      </c>
      <c r="CB47" s="583">
        <f t="shared" si="84"/>
        <v>-50</v>
      </c>
      <c r="CC47">
        <f t="shared" si="85"/>
        <v>-50</v>
      </c>
    </row>
    <row r="48" spans="5:81" x14ac:dyDescent="0.2">
      <c r="E48" s="178">
        <v>43</v>
      </c>
      <c r="F48" s="225">
        <f t="shared" si="89"/>
        <v>0.129</v>
      </c>
      <c r="G48" s="225">
        <f t="shared" si="86"/>
        <v>0.129</v>
      </c>
      <c r="H48" s="225">
        <f t="shared" si="63"/>
        <v>1.9350000000000001</v>
      </c>
      <c r="I48" s="225">
        <f t="shared" si="90"/>
        <v>1.032</v>
      </c>
      <c r="J48" s="561">
        <f t="shared" si="1"/>
        <v>12</v>
      </c>
      <c r="K48" s="456">
        <f t="shared" si="2"/>
        <v>15.25</v>
      </c>
      <c r="L48" s="456">
        <f t="shared" si="3"/>
        <v>27.25</v>
      </c>
      <c r="M48" s="456"/>
      <c r="N48" s="225">
        <f t="shared" si="4"/>
        <v>0.55963302752293576</v>
      </c>
      <c r="O48" s="180">
        <f t="shared" si="87"/>
        <v>2.8577782209812521</v>
      </c>
      <c r="P48" s="180">
        <f t="shared" si="64"/>
        <v>2.3370275229357795</v>
      </c>
      <c r="Q48" s="225">
        <f t="shared" si="6"/>
        <v>0.19051854806541682</v>
      </c>
      <c r="R48" s="225">
        <f t="shared" si="65"/>
        <v>0.35722227762265651</v>
      </c>
      <c r="S48" s="456">
        <f t="shared" si="66"/>
        <v>15</v>
      </c>
      <c r="T48" s="225">
        <f t="shared" si="67"/>
        <v>0.98179417122040069</v>
      </c>
      <c r="U48" s="225">
        <f t="shared" si="10"/>
        <v>3.272647237401336</v>
      </c>
      <c r="V48" s="225">
        <f t="shared" si="11"/>
        <v>2.5751978261518707</v>
      </c>
      <c r="W48" s="205">
        <f t="shared" si="12"/>
        <v>350</v>
      </c>
      <c r="X48" s="456">
        <f t="shared" si="46"/>
        <v>171.00316255512939</v>
      </c>
      <c r="Z48" s="225">
        <f t="shared" si="13"/>
        <v>0.47968545216251629</v>
      </c>
      <c r="AA48" s="181">
        <f t="shared" si="14"/>
        <v>1.258191349934469</v>
      </c>
      <c r="AB48" s="181">
        <f t="shared" si="68"/>
        <v>0.10561881515504945</v>
      </c>
      <c r="AC48" s="181"/>
      <c r="AD48" s="181">
        <f t="shared" si="16"/>
        <v>0.76065573770491812</v>
      </c>
      <c r="AE48" s="565">
        <f t="shared" si="69"/>
        <v>1169.5897740784781</v>
      </c>
      <c r="AF48" s="548">
        <f t="shared" si="70"/>
        <v>3.8603278688524589E-2</v>
      </c>
      <c r="AH48" s="181">
        <f t="shared" si="71"/>
        <v>0.65104311904599899</v>
      </c>
      <c r="AI48" s="181">
        <f t="shared" si="72"/>
        <v>0.98179417122040069</v>
      </c>
      <c r="AJ48" s="181">
        <f t="shared" si="73"/>
        <v>1.7124401268299265</v>
      </c>
      <c r="AL48" s="565">
        <f t="shared" si="74"/>
        <v>129</v>
      </c>
      <c r="AM48" s="474">
        <f t="shared" si="75"/>
        <v>171.00316255512939</v>
      </c>
      <c r="AO48">
        <f t="shared" si="47"/>
        <v>129</v>
      </c>
      <c r="AP48" s="474">
        <f t="shared" si="24"/>
        <v>171.00316255512939</v>
      </c>
      <c r="AQ48" s="474"/>
      <c r="AR48" s="6">
        <f t="shared" si="48"/>
        <v>5.8478450635532067</v>
      </c>
      <c r="AS48" s="6">
        <f t="shared" si="25"/>
        <v>3.272647237401336</v>
      </c>
      <c r="AT48" s="6">
        <f t="shared" si="49"/>
        <v>2.5751978261518707</v>
      </c>
      <c r="AU48" s="181">
        <f t="shared" si="50"/>
        <v>0.55963302752293576</v>
      </c>
      <c r="AW48" s="6">
        <f t="shared" si="76"/>
        <v>2.8144766241651489</v>
      </c>
      <c r="AX48" s="6">
        <f t="shared" si="77"/>
        <v>5.2771436703096546</v>
      </c>
      <c r="AY48" s="6">
        <f t="shared" si="28"/>
        <v>0.76898268419812799</v>
      </c>
      <c r="AZ48" s="6"/>
      <c r="BA48" s="181">
        <f t="shared" si="51"/>
        <v>0.42404455464215346</v>
      </c>
      <c r="BB48" s="181">
        <f t="shared" si="78"/>
        <v>0.37615530554872617</v>
      </c>
      <c r="BC48" s="181">
        <f t="shared" si="79"/>
        <v>0.37083593759147143</v>
      </c>
      <c r="BD48" s="181"/>
      <c r="BE48" s="548">
        <f t="shared" si="31"/>
        <v>6.2934824512581797E-2</v>
      </c>
      <c r="BF48" s="548">
        <f t="shared" si="32"/>
        <v>4.5749999999999999E-2</v>
      </c>
      <c r="BG48" s="548">
        <f t="shared" si="33"/>
        <v>2.1375395319391177E-3</v>
      </c>
      <c r="BH48" s="548">
        <f t="shared" si="34"/>
        <v>7.3013808139534876E-3</v>
      </c>
      <c r="BI48">
        <f t="shared" si="35"/>
        <v>3.48E-3</v>
      </c>
      <c r="BJ48" s="474">
        <f t="shared" si="52"/>
        <v>121.60374485847439</v>
      </c>
      <c r="BK48" s="181">
        <f t="shared" si="80"/>
        <v>4.5149999999999996E-2</v>
      </c>
      <c r="BL48" s="181">
        <f t="shared" si="81"/>
        <v>4.5149999999999996E-2</v>
      </c>
      <c r="BM48" s="548"/>
      <c r="BO48" s="474">
        <f t="shared" si="53"/>
        <v>90.3</v>
      </c>
      <c r="BP48" s="548">
        <f t="shared" si="38"/>
        <v>0</v>
      </c>
      <c r="BQ48" s="548">
        <f t="shared" si="54"/>
        <v>0</v>
      </c>
      <c r="BR48" s="548">
        <f t="shared" si="82"/>
        <v>1.2376736334841112E-2</v>
      </c>
      <c r="BS48" s="548">
        <f t="shared" si="40"/>
        <v>1.8261291279606025E-2</v>
      </c>
      <c r="BT48" s="658">
        <f t="shared" si="83"/>
        <v>0.17307499999999998</v>
      </c>
      <c r="BU48" s="474">
        <f t="shared" si="55"/>
        <v>203.71302761444713</v>
      </c>
      <c r="BV48" s="181">
        <f t="shared" si="56"/>
        <v>0.4156167724729215</v>
      </c>
      <c r="BW48" s="6">
        <f t="shared" si="57"/>
        <v>2.9670000000000001</v>
      </c>
      <c r="BX48" s="181">
        <f t="shared" si="58"/>
        <v>0.87713158172243155</v>
      </c>
      <c r="BY48" s="6">
        <f t="shared" si="59"/>
        <v>87.713158172243155</v>
      </c>
      <c r="BZ48">
        <f t="shared" si="88"/>
        <v>43.000000000000007</v>
      </c>
      <c r="CB48" s="583">
        <f t="shared" si="84"/>
        <v>-50</v>
      </c>
      <c r="CC48">
        <f t="shared" si="85"/>
        <v>-50</v>
      </c>
    </row>
    <row r="49" spans="5:81" x14ac:dyDescent="0.2">
      <c r="E49" s="178">
        <v>44</v>
      </c>
      <c r="F49" s="225">
        <f t="shared" si="89"/>
        <v>0.13200000000000001</v>
      </c>
      <c r="G49" s="225">
        <f t="shared" si="86"/>
        <v>0.13200000000000001</v>
      </c>
      <c r="H49" s="225">
        <f t="shared" si="63"/>
        <v>1.98</v>
      </c>
      <c r="I49" s="225">
        <f t="shared" si="90"/>
        <v>1.056</v>
      </c>
      <c r="J49" s="561">
        <f t="shared" si="1"/>
        <v>12</v>
      </c>
      <c r="K49" s="456">
        <f t="shared" si="2"/>
        <v>15.25</v>
      </c>
      <c r="L49" s="456">
        <f t="shared" si="3"/>
        <v>27.25</v>
      </c>
      <c r="M49" s="456"/>
      <c r="N49" s="225">
        <f t="shared" si="4"/>
        <v>0.55963302752293576</v>
      </c>
      <c r="O49" s="180">
        <f t="shared" si="87"/>
        <v>2.8577782209812521</v>
      </c>
      <c r="P49" s="180">
        <f t="shared" si="64"/>
        <v>2.3370275229357795</v>
      </c>
      <c r="Q49" s="225">
        <f t="shared" si="6"/>
        <v>0.19051854806541682</v>
      </c>
      <c r="R49" s="225">
        <f t="shared" si="65"/>
        <v>0.35722227762265651</v>
      </c>
      <c r="S49" s="456">
        <f t="shared" si="66"/>
        <v>15</v>
      </c>
      <c r="T49" s="225">
        <f t="shared" si="67"/>
        <v>1.0046265938069217</v>
      </c>
      <c r="U49" s="225">
        <f t="shared" si="10"/>
        <v>3.3487553126897391</v>
      </c>
      <c r="V49" s="225">
        <f t="shared" si="11"/>
        <v>2.6350861476902869</v>
      </c>
      <c r="W49" s="205">
        <f t="shared" si="12"/>
        <v>350</v>
      </c>
      <c r="X49" s="456">
        <f t="shared" si="46"/>
        <v>167.11672704251282</v>
      </c>
      <c r="Z49" s="225">
        <f t="shared" si="13"/>
        <v>0.47968545216251629</v>
      </c>
      <c r="AA49" s="181">
        <f t="shared" si="14"/>
        <v>1.258191349934469</v>
      </c>
      <c r="AB49" s="181">
        <f t="shared" si="68"/>
        <v>0.10561881515504945</v>
      </c>
      <c r="AC49" s="181"/>
      <c r="AD49" s="181">
        <f t="shared" si="16"/>
        <v>0.76065573770491812</v>
      </c>
      <c r="AE49" s="565">
        <f t="shared" si="69"/>
        <v>1196.7895362663496</v>
      </c>
      <c r="AF49" s="548">
        <f t="shared" si="70"/>
        <v>3.8603278688524589E-2</v>
      </c>
      <c r="AH49" s="181">
        <f t="shared" si="71"/>
        <v>0.65856987914289378</v>
      </c>
      <c r="AI49" s="181">
        <f t="shared" si="72"/>
        <v>1.0046265938069217</v>
      </c>
      <c r="AJ49" s="181">
        <f t="shared" si="73"/>
        <v>1.7293530324495716</v>
      </c>
      <c r="AL49" s="565">
        <f t="shared" si="74"/>
        <v>132</v>
      </c>
      <c r="AM49" s="474">
        <f t="shared" si="75"/>
        <v>167.11672704251282</v>
      </c>
      <c r="AO49">
        <f t="shared" si="47"/>
        <v>132</v>
      </c>
      <c r="AP49" s="474">
        <f t="shared" si="24"/>
        <v>167.11672704251282</v>
      </c>
      <c r="AQ49" s="474"/>
      <c r="AR49" s="6">
        <f t="shared" si="48"/>
        <v>5.9838414603800247</v>
      </c>
      <c r="AS49" s="6">
        <f t="shared" si="25"/>
        <v>3.3487553126897391</v>
      </c>
      <c r="AT49" s="6">
        <f t="shared" si="49"/>
        <v>2.6350861476902856</v>
      </c>
      <c r="AU49" s="181">
        <f t="shared" si="50"/>
        <v>0.55963302752293587</v>
      </c>
      <c r="AW49" s="6">
        <f t="shared" si="76"/>
        <v>2.9469046751669707</v>
      </c>
      <c r="AX49" s="6">
        <f t="shared" si="77"/>
        <v>5.5254462659380703</v>
      </c>
      <c r="AY49" s="6">
        <f t="shared" si="28"/>
        <v>0.80516521179425382</v>
      </c>
      <c r="AZ49" s="6"/>
      <c r="BA49" s="181">
        <f t="shared" si="51"/>
        <v>0.43390605591290127</v>
      </c>
      <c r="BB49" s="181">
        <f t="shared" si="78"/>
        <v>0.38490310335218492</v>
      </c>
      <c r="BC49" s="181">
        <f t="shared" si="79"/>
        <v>0.37946002916336607</v>
      </c>
      <c r="BD49" s="181"/>
      <c r="BE49" s="548">
        <f t="shared" si="31"/>
        <v>6.5896062875261424E-2</v>
      </c>
      <c r="BF49" s="548">
        <f t="shared" si="32"/>
        <v>4.5749999999999999E-2</v>
      </c>
      <c r="BG49" s="548">
        <f t="shared" si="33"/>
        <v>2.0889590880314103E-3</v>
      </c>
      <c r="BH49" s="548">
        <f t="shared" si="34"/>
        <v>7.1354403409090907E-3</v>
      </c>
      <c r="BI49">
        <f t="shared" si="35"/>
        <v>3.48E-3</v>
      </c>
      <c r="BJ49" s="474">
        <f t="shared" si="52"/>
        <v>124.35046230420193</v>
      </c>
      <c r="BK49" s="181">
        <f t="shared" si="80"/>
        <v>4.6199999999999998E-2</v>
      </c>
      <c r="BL49" s="181">
        <f t="shared" si="81"/>
        <v>4.6199999999999998E-2</v>
      </c>
      <c r="BM49" s="548"/>
      <c r="BO49" s="474">
        <f t="shared" si="53"/>
        <v>92.399999999999991</v>
      </c>
      <c r="BP49" s="548">
        <f t="shared" si="38"/>
        <v>0</v>
      </c>
      <c r="BQ49" s="548">
        <f t="shared" si="54"/>
        <v>0</v>
      </c>
      <c r="BR49" s="548">
        <f t="shared" si="82"/>
        <v>1.2959092235939636E-2</v>
      </c>
      <c r="BS49" s="548">
        <f t="shared" si="40"/>
        <v>1.8261291279606039E-2</v>
      </c>
      <c r="BT49" s="658">
        <f t="shared" si="83"/>
        <v>0.17710000000000004</v>
      </c>
      <c r="BU49" s="474">
        <f t="shared" si="55"/>
        <v>208.32038351554573</v>
      </c>
      <c r="BV49" s="181">
        <f t="shared" si="56"/>
        <v>0.42507084581974763</v>
      </c>
      <c r="BW49" s="6">
        <f t="shared" si="57"/>
        <v>3.036</v>
      </c>
      <c r="BX49" s="181">
        <f t="shared" si="58"/>
        <v>0.87718516472058217</v>
      </c>
      <c r="BY49" s="6">
        <f t="shared" si="59"/>
        <v>87.718516472058212</v>
      </c>
      <c r="BZ49">
        <f t="shared" si="88"/>
        <v>44.000000000000007</v>
      </c>
      <c r="CB49" s="583">
        <f t="shared" si="84"/>
        <v>-50</v>
      </c>
      <c r="CC49">
        <f t="shared" si="85"/>
        <v>-50</v>
      </c>
    </row>
    <row r="50" spans="5:81" x14ac:dyDescent="0.2">
      <c r="E50" s="178">
        <v>45</v>
      </c>
      <c r="F50" s="225">
        <f t="shared" si="89"/>
        <v>0.13500000000000001</v>
      </c>
      <c r="G50" s="225">
        <f t="shared" si="86"/>
        <v>0.13500000000000001</v>
      </c>
      <c r="H50" s="225">
        <f t="shared" si="63"/>
        <v>2.0250000000000004</v>
      </c>
      <c r="I50" s="225">
        <f t="shared" si="90"/>
        <v>1.08</v>
      </c>
      <c r="J50" s="561">
        <f t="shared" si="1"/>
        <v>12</v>
      </c>
      <c r="K50" s="456">
        <f t="shared" si="2"/>
        <v>15.25</v>
      </c>
      <c r="L50" s="456">
        <f t="shared" si="3"/>
        <v>27.25</v>
      </c>
      <c r="M50" s="456"/>
      <c r="N50" s="225">
        <f t="shared" si="4"/>
        <v>0.55963302752293576</v>
      </c>
      <c r="O50" s="180">
        <f t="shared" si="87"/>
        <v>2.8577782209812521</v>
      </c>
      <c r="P50" s="180">
        <f t="shared" si="64"/>
        <v>2.3370275229357795</v>
      </c>
      <c r="Q50" s="225">
        <f t="shared" si="6"/>
        <v>0.19051854806541682</v>
      </c>
      <c r="R50" s="225">
        <f t="shared" si="65"/>
        <v>0.35722227762265651</v>
      </c>
      <c r="S50" s="456">
        <f t="shared" si="66"/>
        <v>15</v>
      </c>
      <c r="T50" s="225">
        <f t="shared" si="67"/>
        <v>1.0274590163934427</v>
      </c>
      <c r="U50" s="225">
        <f t="shared" si="10"/>
        <v>3.4248633879781427</v>
      </c>
      <c r="V50" s="225">
        <f t="shared" si="11"/>
        <v>2.6949744692287028</v>
      </c>
      <c r="W50" s="205">
        <f t="shared" si="12"/>
        <v>350</v>
      </c>
      <c r="X50" s="456">
        <f t="shared" si="46"/>
        <v>163.4030219971236</v>
      </c>
      <c r="Z50" s="225">
        <f t="shared" si="13"/>
        <v>0.47968545216251629</v>
      </c>
      <c r="AA50" s="181">
        <f t="shared" si="14"/>
        <v>1.258191349934469</v>
      </c>
      <c r="AB50" s="181">
        <f t="shared" si="68"/>
        <v>0.10561881515504945</v>
      </c>
      <c r="AC50" s="181"/>
      <c r="AD50" s="181">
        <f t="shared" si="16"/>
        <v>0.76065573770491812</v>
      </c>
      <c r="AE50" s="565">
        <f t="shared" si="69"/>
        <v>1223.9892984542212</v>
      </c>
      <c r="AF50" s="548">
        <f t="shared" si="70"/>
        <v>3.8603278688524589E-2</v>
      </c>
      <c r="AH50" s="181">
        <f t="shared" si="71"/>
        <v>0.66601158291085938</v>
      </c>
      <c r="AI50" s="181">
        <f t="shared" si="72"/>
        <v>1.0274590163934427</v>
      </c>
      <c r="AJ50" s="181">
        <f t="shared" si="73"/>
        <v>1.7462659380692167</v>
      </c>
      <c r="AL50" s="565">
        <f t="shared" si="74"/>
        <v>135</v>
      </c>
      <c r="AM50" s="474">
        <f t="shared" si="75"/>
        <v>163.4030219971236</v>
      </c>
      <c r="AO50">
        <f t="shared" si="47"/>
        <v>135</v>
      </c>
      <c r="AP50" s="474">
        <f t="shared" si="24"/>
        <v>163.4030219971236</v>
      </c>
      <c r="AQ50" s="474"/>
      <c r="AR50" s="6">
        <f t="shared" si="48"/>
        <v>6.1198378572068455</v>
      </c>
      <c r="AS50" s="6">
        <f t="shared" si="25"/>
        <v>3.4248633879781427</v>
      </c>
      <c r="AT50" s="6">
        <f t="shared" si="49"/>
        <v>2.6949744692287028</v>
      </c>
      <c r="AU50" s="181">
        <f t="shared" si="50"/>
        <v>0.55963302752293576</v>
      </c>
      <c r="AW50" s="6">
        <f t="shared" si="76"/>
        <v>3.0823770491803284</v>
      </c>
      <c r="AX50" s="6">
        <f t="shared" si="77"/>
        <v>5.7794569672131155</v>
      </c>
      <c r="AY50" s="6">
        <f t="shared" si="28"/>
        <v>0.84217952163396959</v>
      </c>
      <c r="AZ50" s="6"/>
      <c r="BA50" s="181">
        <f t="shared" si="51"/>
        <v>0.44376755718364902</v>
      </c>
      <c r="BB50" s="181">
        <f t="shared" si="78"/>
        <v>0.39365090115564372</v>
      </c>
      <c r="BC50" s="181">
        <f t="shared" si="79"/>
        <v>0.38808412073526088</v>
      </c>
      <c r="BD50" s="181"/>
      <c r="BE50" s="548">
        <f t="shared" si="31"/>
        <v>6.8925375683060119E-2</v>
      </c>
      <c r="BF50" s="548">
        <f t="shared" si="32"/>
        <v>4.5749999999999992E-2</v>
      </c>
      <c r="BG50" s="548">
        <f t="shared" si="33"/>
        <v>2.0425377749640448E-3</v>
      </c>
      <c r="BH50" s="548">
        <f t="shared" si="34"/>
        <v>6.9768749999999978E-3</v>
      </c>
      <c r="BI50">
        <f t="shared" si="35"/>
        <v>3.48E-3</v>
      </c>
      <c r="BJ50" s="474">
        <f t="shared" si="52"/>
        <v>127.17478845802415</v>
      </c>
      <c r="BK50" s="181">
        <f t="shared" si="80"/>
        <v>4.725E-2</v>
      </c>
      <c r="BL50" s="181">
        <f t="shared" si="81"/>
        <v>4.725E-2</v>
      </c>
      <c r="BM50" s="548"/>
      <c r="BO50" s="474">
        <f t="shared" si="53"/>
        <v>94.5</v>
      </c>
      <c r="BP50" s="548">
        <f t="shared" si="38"/>
        <v>0</v>
      </c>
      <c r="BQ50" s="548">
        <f t="shared" si="54"/>
        <v>0</v>
      </c>
      <c r="BR50" s="548">
        <f t="shared" si="82"/>
        <v>1.355483562901745E-2</v>
      </c>
      <c r="BS50" s="548">
        <f t="shared" si="40"/>
        <v>1.8261291279606066E-2</v>
      </c>
      <c r="BT50" s="658">
        <f t="shared" si="83"/>
        <v>0.18112500000000001</v>
      </c>
      <c r="BU50" s="474">
        <f t="shared" si="55"/>
        <v>212.94112690862352</v>
      </c>
      <c r="BV50" s="181">
        <f t="shared" si="56"/>
        <v>0.43461591536664768</v>
      </c>
      <c r="BW50" s="6">
        <f t="shared" si="57"/>
        <v>3.1050000000000004</v>
      </c>
      <c r="BX50" s="181">
        <f t="shared" si="58"/>
        <v>0.87721382043745599</v>
      </c>
      <c r="BY50" s="6">
        <f t="shared" si="59"/>
        <v>87.721382043745592</v>
      </c>
      <c r="BZ50">
        <f t="shared" si="88"/>
        <v>45.000000000000007</v>
      </c>
      <c r="CB50" s="583">
        <f t="shared" si="84"/>
        <v>-50</v>
      </c>
      <c r="CC50">
        <f t="shared" si="85"/>
        <v>-50</v>
      </c>
    </row>
    <row r="51" spans="5:81" x14ac:dyDescent="0.2">
      <c r="E51" s="178">
        <v>46</v>
      </c>
      <c r="F51" s="225">
        <f t="shared" si="89"/>
        <v>0.13800000000000001</v>
      </c>
      <c r="G51" s="225">
        <f t="shared" si="86"/>
        <v>0.13800000000000001</v>
      </c>
      <c r="H51" s="225">
        <f t="shared" si="63"/>
        <v>2.0700000000000003</v>
      </c>
      <c r="I51" s="225">
        <f t="shared" si="90"/>
        <v>1.1040000000000001</v>
      </c>
      <c r="J51" s="561">
        <f t="shared" si="1"/>
        <v>12</v>
      </c>
      <c r="K51" s="456">
        <f t="shared" si="2"/>
        <v>15.25</v>
      </c>
      <c r="L51" s="456">
        <f t="shared" si="3"/>
        <v>27.25</v>
      </c>
      <c r="M51" s="456"/>
      <c r="N51" s="225">
        <f t="shared" si="4"/>
        <v>0.55963302752293576</v>
      </c>
      <c r="O51" s="180">
        <f t="shared" si="87"/>
        <v>2.8577782209812521</v>
      </c>
      <c r="P51" s="180">
        <f t="shared" si="64"/>
        <v>2.3370275229357795</v>
      </c>
      <c r="Q51" s="225">
        <f t="shared" si="6"/>
        <v>0.19051854806541682</v>
      </c>
      <c r="R51" s="225">
        <f t="shared" si="65"/>
        <v>0.35722227762265651</v>
      </c>
      <c r="S51" s="456">
        <f t="shared" si="66"/>
        <v>15</v>
      </c>
      <c r="T51" s="225">
        <f t="shared" si="67"/>
        <v>1.0502914389799636</v>
      </c>
      <c r="U51" s="225">
        <f t="shared" si="10"/>
        <v>3.5009714632665454</v>
      </c>
      <c r="V51" s="225">
        <f t="shared" si="11"/>
        <v>2.7548627907671177</v>
      </c>
      <c r="W51" s="205">
        <f t="shared" si="12"/>
        <v>350</v>
      </c>
      <c r="X51" s="456">
        <f t="shared" si="46"/>
        <v>159.8507823884905</v>
      </c>
      <c r="Z51" s="225">
        <f t="shared" si="13"/>
        <v>0.47968545216251629</v>
      </c>
      <c r="AA51" s="181">
        <f t="shared" si="14"/>
        <v>1.258191349934469</v>
      </c>
      <c r="AB51" s="181">
        <f t="shared" si="68"/>
        <v>0.10561881515504945</v>
      </c>
      <c r="AC51" s="181"/>
      <c r="AD51" s="181">
        <f t="shared" si="16"/>
        <v>0.76065573770491812</v>
      </c>
      <c r="AE51" s="565">
        <f t="shared" si="69"/>
        <v>1251.1890606420927</v>
      </c>
      <c r="AF51" s="548">
        <f t="shared" si="70"/>
        <v>3.8603278688524589E-2</v>
      </c>
      <c r="AH51" s="181">
        <f t="shared" si="71"/>
        <v>0.67337105033448785</v>
      </c>
      <c r="AI51" s="181">
        <f t="shared" si="72"/>
        <v>1.0502914389799636</v>
      </c>
      <c r="AJ51" s="181">
        <f t="shared" si="73"/>
        <v>1.7631788436888618</v>
      </c>
      <c r="AL51" s="565">
        <f t="shared" si="74"/>
        <v>138</v>
      </c>
      <c r="AM51" s="474">
        <f t="shared" si="75"/>
        <v>159.8507823884905</v>
      </c>
      <c r="AO51">
        <f t="shared" si="47"/>
        <v>138</v>
      </c>
      <c r="AP51" s="474">
        <f t="shared" si="24"/>
        <v>159.8507823884905</v>
      </c>
      <c r="AQ51" s="474"/>
      <c r="AR51" s="6">
        <f t="shared" si="48"/>
        <v>6.2558342540336636</v>
      </c>
      <c r="AS51" s="6">
        <f t="shared" si="25"/>
        <v>3.5009714632665454</v>
      </c>
      <c r="AT51" s="6">
        <f t="shared" si="49"/>
        <v>2.7548627907671182</v>
      </c>
      <c r="AU51" s="181">
        <f t="shared" si="50"/>
        <v>0.55963302752293576</v>
      </c>
      <c r="AW51" s="6">
        <f t="shared" si="76"/>
        <v>3.2208937462052218</v>
      </c>
      <c r="AX51" s="6">
        <f t="shared" si="77"/>
        <v>6.0391757741347911</v>
      </c>
      <c r="AY51" s="6">
        <f t="shared" si="28"/>
        <v>0.88002561371727372</v>
      </c>
      <c r="AZ51" s="6"/>
      <c r="BA51" s="181">
        <f t="shared" si="51"/>
        <v>0.45362905845439672</v>
      </c>
      <c r="BB51" s="181">
        <f t="shared" si="78"/>
        <v>0.40239869895910246</v>
      </c>
      <c r="BC51" s="181">
        <f t="shared" si="79"/>
        <v>0.39670821230715547</v>
      </c>
      <c r="BD51" s="181"/>
      <c r="BE51" s="548">
        <f t="shared" si="31"/>
        <v>7.2022762935977855E-2</v>
      </c>
      <c r="BF51" s="548">
        <f t="shared" si="32"/>
        <v>4.5749999999999992E-2</v>
      </c>
      <c r="BG51" s="548">
        <f t="shared" si="33"/>
        <v>1.998134779856131E-3</v>
      </c>
      <c r="BH51" s="548">
        <f t="shared" si="34"/>
        <v>6.8252038043478246E-3</v>
      </c>
      <c r="BI51">
        <f t="shared" si="35"/>
        <v>3.48E-3</v>
      </c>
      <c r="BJ51" s="474">
        <f t="shared" si="52"/>
        <v>130.07610152018182</v>
      </c>
      <c r="BK51" s="181">
        <f t="shared" si="80"/>
        <v>4.8300000000000003E-2</v>
      </c>
      <c r="BL51" s="181">
        <f t="shared" si="81"/>
        <v>4.8300000000000003E-2</v>
      </c>
      <c r="BM51" s="548"/>
      <c r="BO51" s="474">
        <f t="shared" si="53"/>
        <v>96.600000000000009</v>
      </c>
      <c r="BP51" s="548">
        <f t="shared" si="38"/>
        <v>0</v>
      </c>
      <c r="BQ51" s="548">
        <f t="shared" si="54"/>
        <v>0</v>
      </c>
      <c r="BR51" s="548">
        <f t="shared" si="82"/>
        <v>1.4163966514074523E-2</v>
      </c>
      <c r="BS51" s="548">
        <f t="shared" si="40"/>
        <v>1.8261291279606053E-2</v>
      </c>
      <c r="BT51" s="658">
        <f t="shared" si="83"/>
        <v>0.18515000000000001</v>
      </c>
      <c r="BU51" s="474">
        <f t="shared" si="55"/>
        <v>217.57525779368058</v>
      </c>
      <c r="BV51" s="181">
        <f t="shared" si="56"/>
        <v>0.44425135931386239</v>
      </c>
      <c r="BW51" s="6">
        <f t="shared" si="57"/>
        <v>3.1740000000000004</v>
      </c>
      <c r="BX51" s="181">
        <f t="shared" si="58"/>
        <v>0.87721932082736587</v>
      </c>
      <c r="BY51" s="6">
        <f t="shared" si="59"/>
        <v>87.721932082736586</v>
      </c>
      <c r="BZ51">
        <f t="shared" si="88"/>
        <v>46.000000000000007</v>
      </c>
      <c r="CB51" s="583">
        <f t="shared" si="84"/>
        <v>-50</v>
      </c>
      <c r="CC51">
        <f t="shared" si="85"/>
        <v>-50</v>
      </c>
    </row>
    <row r="52" spans="5:81" x14ac:dyDescent="0.2">
      <c r="E52" s="178">
        <v>47</v>
      </c>
      <c r="F52" s="225">
        <f t="shared" si="89"/>
        <v>0.14099999999999999</v>
      </c>
      <c r="G52" s="225">
        <f t="shared" si="86"/>
        <v>0.14099999999999999</v>
      </c>
      <c r="H52" s="225">
        <f t="shared" si="63"/>
        <v>2.1149999999999998</v>
      </c>
      <c r="I52" s="225">
        <f t="shared" si="90"/>
        <v>1.1279999999999999</v>
      </c>
      <c r="J52" s="561">
        <f t="shared" si="1"/>
        <v>12</v>
      </c>
      <c r="K52" s="456">
        <f t="shared" si="2"/>
        <v>15.25</v>
      </c>
      <c r="L52" s="456">
        <f t="shared" si="3"/>
        <v>27.25</v>
      </c>
      <c r="M52" s="456"/>
      <c r="N52" s="225">
        <f t="shared" si="4"/>
        <v>0.55963302752293576</v>
      </c>
      <c r="O52" s="180">
        <f t="shared" si="87"/>
        <v>2.8577782209812521</v>
      </c>
      <c r="P52" s="180">
        <f t="shared" si="64"/>
        <v>2.3370275229357795</v>
      </c>
      <c r="Q52" s="225">
        <f t="shared" si="6"/>
        <v>0.19051854806541682</v>
      </c>
      <c r="R52" s="225">
        <f t="shared" si="65"/>
        <v>0.35722227762265651</v>
      </c>
      <c r="S52" s="456">
        <f t="shared" si="66"/>
        <v>15</v>
      </c>
      <c r="T52" s="225">
        <f t="shared" si="67"/>
        <v>1.0731238615664842</v>
      </c>
      <c r="U52" s="225">
        <f t="shared" si="10"/>
        <v>3.5770795385549476</v>
      </c>
      <c r="V52" s="225">
        <f t="shared" si="11"/>
        <v>2.8147511123055327</v>
      </c>
      <c r="W52" s="205">
        <f t="shared" si="12"/>
        <v>350</v>
      </c>
      <c r="X52" s="456">
        <f t="shared" si="46"/>
        <v>156.44970191213969</v>
      </c>
      <c r="Z52" s="225">
        <f t="shared" si="13"/>
        <v>0.47968545216251629</v>
      </c>
      <c r="AA52" s="181">
        <f t="shared" si="14"/>
        <v>1.258191349934469</v>
      </c>
      <c r="AB52" s="181">
        <f t="shared" si="68"/>
        <v>0.10561881515504945</v>
      </c>
      <c r="AC52" s="181"/>
      <c r="AD52" s="181">
        <f t="shared" si="16"/>
        <v>0.76065573770491812</v>
      </c>
      <c r="AE52" s="565">
        <f t="shared" si="69"/>
        <v>1278.3888228299641</v>
      </c>
      <c r="AF52" s="548">
        <f t="shared" si="70"/>
        <v>3.8603278688524589E-2</v>
      </c>
      <c r="AH52" s="181">
        <f t="shared" si="71"/>
        <v>0.68065094893470479</v>
      </c>
      <c r="AI52" s="181">
        <f t="shared" si="72"/>
        <v>1.0731238615664842</v>
      </c>
      <c r="AJ52" s="181">
        <f t="shared" si="73"/>
        <v>1.7800917493085067</v>
      </c>
      <c r="AL52" s="565">
        <f t="shared" si="74"/>
        <v>141</v>
      </c>
      <c r="AM52" s="474">
        <f t="shared" si="75"/>
        <v>156.44970191213969</v>
      </c>
      <c r="AO52">
        <f t="shared" si="47"/>
        <v>141</v>
      </c>
      <c r="AP52" s="474">
        <f t="shared" si="24"/>
        <v>156.44970191213969</v>
      </c>
      <c r="AQ52" s="474"/>
      <c r="AR52" s="6">
        <f t="shared" si="48"/>
        <v>6.3918306508604807</v>
      </c>
      <c r="AS52" s="6">
        <f t="shared" si="25"/>
        <v>3.5770795385549476</v>
      </c>
      <c r="AT52" s="6">
        <f t="shared" si="49"/>
        <v>2.8147511123055331</v>
      </c>
      <c r="AU52" s="181">
        <f t="shared" si="50"/>
        <v>0.55963302752293576</v>
      </c>
      <c r="AW52" s="6">
        <f t="shared" si="76"/>
        <v>3.3624547662416506</v>
      </c>
      <c r="AX52" s="6">
        <f t="shared" si="77"/>
        <v>6.3046026867030944</v>
      </c>
      <c r="AY52" s="6">
        <f t="shared" si="28"/>
        <v>0.91870348804416679</v>
      </c>
      <c r="AZ52" s="6"/>
      <c r="BA52" s="181">
        <f t="shared" si="51"/>
        <v>0.46349055972514436</v>
      </c>
      <c r="BB52" s="181">
        <f t="shared" si="78"/>
        <v>0.41114649676256104</v>
      </c>
      <c r="BC52" s="181">
        <f t="shared" si="79"/>
        <v>0.40533230387905012</v>
      </c>
      <c r="BD52" s="181"/>
      <c r="BE52" s="548">
        <f t="shared" si="31"/>
        <v>7.5188224634014658E-2</v>
      </c>
      <c r="BF52" s="548">
        <f t="shared" si="32"/>
        <v>4.5749999999999992E-2</v>
      </c>
      <c r="BG52" s="548">
        <f t="shared" si="33"/>
        <v>1.9556212739017462E-3</v>
      </c>
      <c r="BH52" s="548">
        <f t="shared" si="34"/>
        <v>6.6799867021276604E-3</v>
      </c>
      <c r="BI52">
        <f t="shared" si="35"/>
        <v>3.48E-3</v>
      </c>
      <c r="BJ52" s="474">
        <f t="shared" si="52"/>
        <v>133.05383261004408</v>
      </c>
      <c r="BK52" s="181">
        <f t="shared" si="80"/>
        <v>4.9349999999999991E-2</v>
      </c>
      <c r="BL52" s="181">
        <f t="shared" si="81"/>
        <v>4.9349999999999991E-2</v>
      </c>
      <c r="BM52" s="548"/>
      <c r="BO52" s="474">
        <f t="shared" si="53"/>
        <v>98.699999999999989</v>
      </c>
      <c r="BP52" s="548">
        <f t="shared" si="38"/>
        <v>0</v>
      </c>
      <c r="BQ52" s="548">
        <f t="shared" si="54"/>
        <v>0</v>
      </c>
      <c r="BR52" s="548">
        <f t="shared" si="82"/>
        <v>1.4786484891110877E-2</v>
      </c>
      <c r="BS52" s="548">
        <f t="shared" si="40"/>
        <v>1.8261291279606056E-2</v>
      </c>
      <c r="BT52" s="658">
        <f t="shared" si="83"/>
        <v>0.18917499999999995</v>
      </c>
      <c r="BU52" s="474">
        <f t="shared" si="55"/>
        <v>222.22277617071688</v>
      </c>
      <c r="BV52" s="181">
        <f t="shared" si="56"/>
        <v>0.45397660878076096</v>
      </c>
      <c r="BW52" s="6">
        <f t="shared" si="57"/>
        <v>3.2429999999999994</v>
      </c>
      <c r="BX52" s="181">
        <f t="shared" si="58"/>
        <v>0.87720327802385545</v>
      </c>
      <c r="BY52" s="6">
        <f t="shared" si="59"/>
        <v>87.72032780238554</v>
      </c>
      <c r="BZ52">
        <f t="shared" si="88"/>
        <v>47</v>
      </c>
      <c r="CB52" s="583">
        <f t="shared" si="84"/>
        <v>-50</v>
      </c>
      <c r="CC52">
        <f t="shared" si="85"/>
        <v>-50</v>
      </c>
    </row>
    <row r="53" spans="5:81" x14ac:dyDescent="0.2">
      <c r="E53" s="178">
        <v>48</v>
      </c>
      <c r="F53" s="225">
        <f t="shared" si="89"/>
        <v>0.14399999999999999</v>
      </c>
      <c r="G53" s="225">
        <f t="shared" si="86"/>
        <v>0.14399999999999999</v>
      </c>
      <c r="H53" s="225">
        <f t="shared" si="63"/>
        <v>2.1599999999999997</v>
      </c>
      <c r="I53" s="225">
        <f t="shared" si="90"/>
        <v>1.1519999999999999</v>
      </c>
      <c r="J53" s="561">
        <f t="shared" si="1"/>
        <v>12</v>
      </c>
      <c r="K53" s="456">
        <f t="shared" si="2"/>
        <v>15.25</v>
      </c>
      <c r="L53" s="456">
        <f t="shared" si="3"/>
        <v>27.25</v>
      </c>
      <c r="M53" s="456"/>
      <c r="N53" s="225">
        <f t="shared" si="4"/>
        <v>0.55963302752293576</v>
      </c>
      <c r="O53" s="180">
        <f t="shared" si="87"/>
        <v>2.8577782209812521</v>
      </c>
      <c r="P53" s="180">
        <f t="shared" si="64"/>
        <v>2.3370275229357795</v>
      </c>
      <c r="Q53" s="225">
        <f t="shared" si="6"/>
        <v>0.19051854806541682</v>
      </c>
      <c r="R53" s="225">
        <f t="shared" si="65"/>
        <v>0.35722227762265651</v>
      </c>
      <c r="S53" s="456">
        <f t="shared" si="66"/>
        <v>15</v>
      </c>
      <c r="T53" s="225">
        <f t="shared" si="67"/>
        <v>1.0959562841530053</v>
      </c>
      <c r="U53" s="225">
        <f t="shared" si="10"/>
        <v>3.6531876138433512</v>
      </c>
      <c r="V53" s="225">
        <f t="shared" si="11"/>
        <v>2.8746394338439485</v>
      </c>
      <c r="W53" s="205">
        <f t="shared" si="12"/>
        <v>350</v>
      </c>
      <c r="X53" s="456">
        <f t="shared" si="46"/>
        <v>153.19033312230343</v>
      </c>
      <c r="Z53" s="225">
        <f t="shared" si="13"/>
        <v>0.47968545216251629</v>
      </c>
      <c r="AA53" s="181">
        <f t="shared" si="14"/>
        <v>1.258191349934469</v>
      </c>
      <c r="AB53" s="181">
        <f t="shared" si="68"/>
        <v>0.10561881515504945</v>
      </c>
      <c r="AC53" s="181"/>
      <c r="AD53" s="181">
        <f t="shared" si="16"/>
        <v>0.76065573770491812</v>
      </c>
      <c r="AE53" s="565">
        <f t="shared" si="69"/>
        <v>1305.5885850178356</v>
      </c>
      <c r="AF53" s="548">
        <f t="shared" si="70"/>
        <v>3.8603278688524589E-2</v>
      </c>
      <c r="AH53" s="181">
        <f t="shared" si="71"/>
        <v>0.68785380506533289</v>
      </c>
      <c r="AI53" s="181">
        <f t="shared" si="72"/>
        <v>1.0959562841530053</v>
      </c>
      <c r="AJ53" s="181">
        <f t="shared" si="73"/>
        <v>1.797004654928152</v>
      </c>
      <c r="AL53" s="565">
        <f t="shared" si="74"/>
        <v>144</v>
      </c>
      <c r="AM53" s="474">
        <f t="shared" si="75"/>
        <v>153.19033312230343</v>
      </c>
      <c r="AO53">
        <f t="shared" si="47"/>
        <v>144</v>
      </c>
      <c r="AP53" s="474">
        <f t="shared" si="24"/>
        <v>153.19033312230343</v>
      </c>
      <c r="AQ53" s="474"/>
      <c r="AR53" s="6">
        <f t="shared" si="48"/>
        <v>6.5278270476873006</v>
      </c>
      <c r="AS53" s="6">
        <f t="shared" si="25"/>
        <v>3.6531876138433512</v>
      </c>
      <c r="AT53" s="6">
        <f t="shared" si="49"/>
        <v>2.8746394338439494</v>
      </c>
      <c r="AU53" s="181">
        <f t="shared" si="50"/>
        <v>0.55963302752293576</v>
      </c>
      <c r="AW53" s="6">
        <f t="shared" si="76"/>
        <v>3.507060109289617</v>
      </c>
      <c r="AX53" s="6">
        <f t="shared" si="77"/>
        <v>6.5757377049180317</v>
      </c>
      <c r="AY53" s="6">
        <f t="shared" si="28"/>
        <v>0.95821314461464935</v>
      </c>
      <c r="AZ53" s="6"/>
      <c r="BA53" s="181">
        <f t="shared" si="51"/>
        <v>0.47335206099589217</v>
      </c>
      <c r="BB53" s="181">
        <f t="shared" si="78"/>
        <v>0.41989429456601984</v>
      </c>
      <c r="BC53" s="181">
        <f t="shared" si="79"/>
        <v>0.41395639545094481</v>
      </c>
      <c r="BD53" s="181"/>
      <c r="BE53" s="548">
        <f t="shared" si="31"/>
        <v>7.8421760777170585E-2</v>
      </c>
      <c r="BF53" s="548">
        <f t="shared" si="32"/>
        <v>4.5749999999999992E-2</v>
      </c>
      <c r="BG53" s="548">
        <f t="shared" si="33"/>
        <v>1.9148791640287927E-3</v>
      </c>
      <c r="BH53" s="548">
        <f t="shared" si="34"/>
        <v>6.5408203125E-3</v>
      </c>
      <c r="BI53">
        <f t="shared" si="35"/>
        <v>3.48E-3</v>
      </c>
      <c r="BJ53" s="474">
        <f t="shared" si="52"/>
        <v>136.10746025369937</v>
      </c>
      <c r="BK53" s="181">
        <f t="shared" si="80"/>
        <v>5.0399999999999993E-2</v>
      </c>
      <c r="BL53" s="181">
        <f t="shared" si="81"/>
        <v>5.0399999999999993E-2</v>
      </c>
      <c r="BM53" s="548"/>
      <c r="BO53" s="474">
        <f t="shared" si="53"/>
        <v>100.79999999999998</v>
      </c>
      <c r="BP53" s="548">
        <f t="shared" si="38"/>
        <v>0</v>
      </c>
      <c r="BQ53" s="548">
        <f t="shared" si="54"/>
        <v>0</v>
      </c>
      <c r="BR53" s="548">
        <f t="shared" si="82"/>
        <v>1.542239076012651E-2</v>
      </c>
      <c r="BS53" s="548">
        <f t="shared" si="40"/>
        <v>1.8261291279606053E-2</v>
      </c>
      <c r="BT53" s="658">
        <f t="shared" si="83"/>
        <v>0.19319999999999996</v>
      </c>
      <c r="BU53" s="474">
        <f t="shared" si="55"/>
        <v>226.88368203973252</v>
      </c>
      <c r="BV53" s="181">
        <f t="shared" si="56"/>
        <v>0.46379114229343188</v>
      </c>
      <c r="BW53" s="6">
        <f t="shared" si="57"/>
        <v>3.3119999999999994</v>
      </c>
      <c r="BX53" s="181">
        <f t="shared" si="58"/>
        <v>0.87716716184367038</v>
      </c>
      <c r="BY53" s="6">
        <f t="shared" si="59"/>
        <v>87.716716184367044</v>
      </c>
      <c r="BZ53">
        <f t="shared" si="88"/>
        <v>48</v>
      </c>
      <c r="CB53" s="583">
        <f t="shared" si="84"/>
        <v>-50</v>
      </c>
      <c r="CC53">
        <f t="shared" si="85"/>
        <v>-50</v>
      </c>
    </row>
    <row r="54" spans="5:81" x14ac:dyDescent="0.2">
      <c r="E54" s="178">
        <v>49</v>
      </c>
      <c r="F54" s="225">
        <f t="shared" si="89"/>
        <v>0.14699999999999999</v>
      </c>
      <c r="G54" s="225">
        <f t="shared" si="86"/>
        <v>0.14699999999999999</v>
      </c>
      <c r="H54" s="225">
        <f t="shared" si="63"/>
        <v>2.2050000000000001</v>
      </c>
      <c r="I54" s="225">
        <f t="shared" si="90"/>
        <v>1.1759999999999999</v>
      </c>
      <c r="J54" s="561">
        <f t="shared" si="1"/>
        <v>12</v>
      </c>
      <c r="K54" s="456">
        <f t="shared" si="2"/>
        <v>15.25</v>
      </c>
      <c r="L54" s="456">
        <f t="shared" si="3"/>
        <v>27.25</v>
      </c>
      <c r="M54" s="456"/>
      <c r="N54" s="225">
        <f t="shared" si="4"/>
        <v>0.55963302752293576</v>
      </c>
      <c r="O54" s="180">
        <f t="shared" si="87"/>
        <v>2.8577782209812521</v>
      </c>
      <c r="P54" s="180">
        <f t="shared" si="64"/>
        <v>2.3370275229357795</v>
      </c>
      <c r="Q54" s="225">
        <f t="shared" si="6"/>
        <v>0.19051854806541682</v>
      </c>
      <c r="R54" s="225">
        <f t="shared" si="65"/>
        <v>0.35722227762265651</v>
      </c>
      <c r="S54" s="456">
        <f t="shared" si="66"/>
        <v>15</v>
      </c>
      <c r="T54" s="225">
        <f t="shared" si="67"/>
        <v>1.1187887067395264</v>
      </c>
      <c r="U54" s="225">
        <f t="shared" si="10"/>
        <v>3.7292956891317552</v>
      </c>
      <c r="V54" s="225">
        <f t="shared" si="11"/>
        <v>2.9345277553823648</v>
      </c>
      <c r="W54" s="205">
        <f t="shared" si="12"/>
        <v>350</v>
      </c>
      <c r="X54" s="456">
        <f t="shared" si="46"/>
        <v>150.06399979327679</v>
      </c>
      <c r="Z54" s="225">
        <f t="shared" si="13"/>
        <v>0.47968545216251629</v>
      </c>
      <c r="AA54" s="181">
        <f t="shared" si="14"/>
        <v>1.258191349934469</v>
      </c>
      <c r="AB54" s="181">
        <f t="shared" si="68"/>
        <v>0.10561881515504945</v>
      </c>
      <c r="AC54" s="181"/>
      <c r="AD54" s="181">
        <f t="shared" si="16"/>
        <v>0.76065573770491812</v>
      </c>
      <c r="AE54" s="565">
        <f t="shared" si="69"/>
        <v>1332.7883472057074</v>
      </c>
      <c r="AF54" s="548">
        <f t="shared" si="70"/>
        <v>3.8603278688524589E-2</v>
      </c>
      <c r="AH54" s="181">
        <f t="shared" si="71"/>
        <v>0.69498201415576211</v>
      </c>
      <c r="AI54" s="181">
        <f t="shared" si="72"/>
        <v>1.1187887067395264</v>
      </c>
      <c r="AJ54" s="181">
        <f t="shared" si="73"/>
        <v>1.8139175605477973</v>
      </c>
      <c r="AL54" s="565">
        <f t="shared" si="74"/>
        <v>147</v>
      </c>
      <c r="AM54" s="474">
        <f t="shared" si="75"/>
        <v>150.06399979327679</v>
      </c>
      <c r="AO54">
        <f t="shared" si="47"/>
        <v>147</v>
      </c>
      <c r="AP54" s="474">
        <f t="shared" si="24"/>
        <v>150.06399979327679</v>
      </c>
      <c r="AQ54" s="474"/>
      <c r="AR54" s="6">
        <f t="shared" si="48"/>
        <v>6.6638234445141205</v>
      </c>
      <c r="AS54" s="6">
        <f t="shared" si="25"/>
        <v>3.7292956891317552</v>
      </c>
      <c r="AT54" s="6">
        <f t="shared" si="49"/>
        <v>2.9345277553823652</v>
      </c>
      <c r="AU54" s="181">
        <f t="shared" si="50"/>
        <v>0.55963302752293576</v>
      </c>
      <c r="AW54" s="6">
        <f t="shared" si="76"/>
        <v>3.6547097753491204</v>
      </c>
      <c r="AX54" s="6">
        <f t="shared" si="77"/>
        <v>6.8525808287796002</v>
      </c>
      <c r="AY54" s="6">
        <f t="shared" si="28"/>
        <v>0.9985545834287215</v>
      </c>
      <c r="AZ54" s="6"/>
      <c r="BA54" s="181">
        <f t="shared" si="51"/>
        <v>0.48321356226663997</v>
      </c>
      <c r="BB54" s="181">
        <f t="shared" si="78"/>
        <v>0.42864209236947864</v>
      </c>
      <c r="BC54" s="181">
        <f t="shared" si="79"/>
        <v>0.42258048702283957</v>
      </c>
      <c r="BD54" s="181"/>
      <c r="BE54" s="548">
        <f t="shared" si="31"/>
        <v>8.1723371365445566E-2</v>
      </c>
      <c r="BF54" s="548">
        <f t="shared" si="32"/>
        <v>4.5749999999999992E-2</v>
      </c>
      <c r="BG54" s="548">
        <f t="shared" si="33"/>
        <v>1.8757999974159598E-3</v>
      </c>
      <c r="BH54" s="548">
        <f t="shared" si="34"/>
        <v>6.4073341836734677E-3</v>
      </c>
      <c r="BI54">
        <f t="shared" si="35"/>
        <v>3.48E-3</v>
      </c>
      <c r="BJ54" s="474">
        <f t="shared" si="52"/>
        <v>139.23650554653503</v>
      </c>
      <c r="BK54" s="181">
        <f t="shared" si="80"/>
        <v>5.1449999999999996E-2</v>
      </c>
      <c r="BL54" s="181">
        <f t="shared" si="81"/>
        <v>5.1449999999999996E-2</v>
      </c>
      <c r="BM54" s="548"/>
      <c r="BO54" s="474">
        <f t="shared" si="53"/>
        <v>102.89999999999999</v>
      </c>
      <c r="BP54" s="548">
        <f t="shared" si="38"/>
        <v>0</v>
      </c>
      <c r="BQ54" s="548">
        <f t="shared" si="54"/>
        <v>0</v>
      </c>
      <c r="BR54" s="548">
        <f t="shared" si="82"/>
        <v>1.6071684121121425E-2</v>
      </c>
      <c r="BS54" s="548">
        <f t="shared" si="40"/>
        <v>1.8261291279606021E-2</v>
      </c>
      <c r="BT54" s="658">
        <f t="shared" si="83"/>
        <v>0.19722499999999996</v>
      </c>
      <c r="BU54" s="474">
        <f t="shared" si="55"/>
        <v>231.5579754007274</v>
      </c>
      <c r="BV54" s="181">
        <f t="shared" si="56"/>
        <v>0.47369448094726241</v>
      </c>
      <c r="BW54" s="6">
        <f t="shared" si="57"/>
        <v>3.3810000000000002</v>
      </c>
      <c r="BX54" s="181">
        <f t="shared" si="58"/>
        <v>0.87711231505152765</v>
      </c>
      <c r="BY54" s="6">
        <f t="shared" si="59"/>
        <v>87.711231505152767</v>
      </c>
      <c r="BZ54">
        <f t="shared" si="88"/>
        <v>49</v>
      </c>
      <c r="CB54" s="583">
        <f t="shared" si="84"/>
        <v>-50</v>
      </c>
      <c r="CC54">
        <f t="shared" si="85"/>
        <v>-50</v>
      </c>
    </row>
    <row r="55" spans="5:81" x14ac:dyDescent="0.2">
      <c r="E55" s="178">
        <v>50</v>
      </c>
      <c r="F55" s="225">
        <f t="shared" si="89"/>
        <v>0.15</v>
      </c>
      <c r="G55" s="225">
        <f t="shared" si="86"/>
        <v>0.15</v>
      </c>
      <c r="H55" s="225">
        <f t="shared" si="63"/>
        <v>2.25</v>
      </c>
      <c r="I55" s="225">
        <f t="shared" si="90"/>
        <v>1.2</v>
      </c>
      <c r="J55" s="561">
        <f t="shared" si="1"/>
        <v>12</v>
      </c>
      <c r="K55" s="456">
        <f t="shared" si="2"/>
        <v>15.25</v>
      </c>
      <c r="L55" s="456">
        <f t="shared" si="3"/>
        <v>27.25</v>
      </c>
      <c r="M55" s="456"/>
      <c r="N55" s="225">
        <f t="shared" si="4"/>
        <v>0.55963302752293576</v>
      </c>
      <c r="O55" s="180">
        <f t="shared" si="87"/>
        <v>2.8577782209812521</v>
      </c>
      <c r="P55" s="180">
        <f t="shared" si="64"/>
        <v>2.3370275229357795</v>
      </c>
      <c r="Q55" s="225">
        <f t="shared" si="6"/>
        <v>0.19051854806541682</v>
      </c>
      <c r="R55" s="225">
        <f t="shared" si="65"/>
        <v>0.35722227762265651</v>
      </c>
      <c r="S55" s="456">
        <f t="shared" si="66"/>
        <v>15</v>
      </c>
      <c r="T55" s="225">
        <f t="shared" si="67"/>
        <v>1.1416211293260474</v>
      </c>
      <c r="U55" s="225">
        <f t="shared" si="10"/>
        <v>3.8054037644201579</v>
      </c>
      <c r="V55" s="225">
        <f t="shared" si="11"/>
        <v>2.9944160769207802</v>
      </c>
      <c r="W55" s="205">
        <f t="shared" si="12"/>
        <v>350</v>
      </c>
      <c r="X55" s="456">
        <f t="shared" si="46"/>
        <v>147.06271979741129</v>
      </c>
      <c r="Z55" s="225">
        <f t="shared" si="13"/>
        <v>0.47968545216251629</v>
      </c>
      <c r="AA55" s="181">
        <f t="shared" si="14"/>
        <v>1.258191349934469</v>
      </c>
      <c r="AB55" s="181">
        <f t="shared" si="68"/>
        <v>0.10561881515504945</v>
      </c>
      <c r="AC55" s="181"/>
      <c r="AD55" s="181">
        <f t="shared" si="16"/>
        <v>0.76065573770491812</v>
      </c>
      <c r="AE55" s="565">
        <f t="shared" si="69"/>
        <v>1359.988109393579</v>
      </c>
      <c r="AF55" s="548">
        <f t="shared" si="70"/>
        <v>3.8603278688524589E-2</v>
      </c>
      <c r="AH55" s="181">
        <f t="shared" si="71"/>
        <v>0.70203785001746366</v>
      </c>
      <c r="AI55" s="181">
        <f t="shared" si="72"/>
        <v>1.1416211293260474</v>
      </c>
      <c r="AJ55" s="181">
        <f t="shared" si="73"/>
        <v>1.8308304661674424</v>
      </c>
      <c r="AL55" s="565">
        <f t="shared" si="74"/>
        <v>150</v>
      </c>
      <c r="AM55" s="474">
        <f t="shared" si="75"/>
        <v>147.06271979741129</v>
      </c>
      <c r="AO55">
        <f t="shared" si="47"/>
        <v>150</v>
      </c>
      <c r="AP55" s="474">
        <f t="shared" si="24"/>
        <v>147.06271979741129</v>
      </c>
      <c r="AQ55" s="474"/>
      <c r="AR55" s="6">
        <f t="shared" si="48"/>
        <v>6.7998198413409376</v>
      </c>
      <c r="AS55" s="6">
        <f t="shared" si="25"/>
        <v>3.8054037644201579</v>
      </c>
      <c r="AT55" s="6">
        <f t="shared" si="49"/>
        <v>2.9944160769207797</v>
      </c>
      <c r="AU55" s="181">
        <f t="shared" si="50"/>
        <v>0.55963302752293576</v>
      </c>
      <c r="AW55" s="6">
        <f t="shared" si="76"/>
        <v>3.8054037644201579</v>
      </c>
      <c r="AX55" s="6">
        <f t="shared" si="77"/>
        <v>7.1351320582877964</v>
      </c>
      <c r="AY55" s="6">
        <f t="shared" si="28"/>
        <v>1.0397278044863818</v>
      </c>
      <c r="AZ55" s="6"/>
      <c r="BA55" s="181">
        <f t="shared" si="51"/>
        <v>0.49307506353738778</v>
      </c>
      <c r="BB55" s="181">
        <f t="shared" si="78"/>
        <v>0.43738989017293745</v>
      </c>
      <c r="BC55" s="181">
        <f t="shared" si="79"/>
        <v>0.43120457859473427</v>
      </c>
      <c r="BD55" s="181"/>
      <c r="BE55" s="548">
        <f t="shared" si="31"/>
        <v>8.5093056398839642E-2</v>
      </c>
      <c r="BF55" s="548">
        <f t="shared" si="32"/>
        <v>4.5749999999999999E-2</v>
      </c>
      <c r="BG55" s="548">
        <f t="shared" si="33"/>
        <v>1.8382839974676411E-3</v>
      </c>
      <c r="BH55" s="548">
        <f t="shared" si="34"/>
        <v>6.2791875E-3</v>
      </c>
      <c r="BI55">
        <f t="shared" si="35"/>
        <v>3.48E-3</v>
      </c>
      <c r="BJ55" s="474">
        <f t="shared" si="52"/>
        <v>142.44052789630729</v>
      </c>
      <c r="BK55" s="181">
        <f t="shared" si="80"/>
        <v>5.2499999999999998E-2</v>
      </c>
      <c r="BL55" s="181">
        <f t="shared" si="81"/>
        <v>5.2499999999999998E-2</v>
      </c>
      <c r="BM55" s="548"/>
      <c r="BO55" s="474">
        <f t="shared" si="53"/>
        <v>105</v>
      </c>
      <c r="BP55" s="548">
        <f t="shared" si="38"/>
        <v>0</v>
      </c>
      <c r="BQ55" s="548">
        <f t="shared" si="54"/>
        <v>0</v>
      </c>
      <c r="BR55" s="548">
        <f t="shared" si="82"/>
        <v>1.6734364974095611E-2</v>
      </c>
      <c r="BS55" s="548">
        <f t="shared" si="40"/>
        <v>1.8261291279606056E-2</v>
      </c>
      <c r="BT55" s="658">
        <f t="shared" si="83"/>
        <v>0.20125000000000004</v>
      </c>
      <c r="BU55" s="474">
        <f t="shared" si="55"/>
        <v>236.2456562537017</v>
      </c>
      <c r="BV55" s="181">
        <f t="shared" si="56"/>
        <v>0.48368618415000897</v>
      </c>
      <c r="BW55" s="6">
        <f t="shared" si="57"/>
        <v>3.45</v>
      </c>
      <c r="BX55" s="181">
        <f t="shared" si="58"/>
        <v>0.87703996671139539</v>
      </c>
      <c r="BY55" s="6">
        <f t="shared" si="59"/>
        <v>87.703996671139535</v>
      </c>
      <c r="BZ55">
        <f t="shared" si="88"/>
        <v>50</v>
      </c>
      <c r="CB55" s="583">
        <f t="shared" si="84"/>
        <v>-50</v>
      </c>
      <c r="CC55">
        <f t="shared" si="85"/>
        <v>-50</v>
      </c>
    </row>
    <row r="56" spans="5:81" x14ac:dyDescent="0.2">
      <c r="E56" s="178">
        <v>51</v>
      </c>
      <c r="F56" s="225">
        <f t="shared" si="89"/>
        <v>0.153</v>
      </c>
      <c r="G56" s="225">
        <f t="shared" si="86"/>
        <v>0.153</v>
      </c>
      <c r="H56" s="225">
        <f t="shared" si="63"/>
        <v>2.2949999999999999</v>
      </c>
      <c r="I56" s="225">
        <f t="shared" si="90"/>
        <v>1.224</v>
      </c>
      <c r="J56" s="561">
        <f t="shared" si="1"/>
        <v>12</v>
      </c>
      <c r="K56" s="456">
        <f t="shared" si="2"/>
        <v>15.25</v>
      </c>
      <c r="L56" s="456">
        <f t="shared" si="3"/>
        <v>27.25</v>
      </c>
      <c r="M56" s="456"/>
      <c r="N56" s="225">
        <f t="shared" si="4"/>
        <v>0.55963302752293576</v>
      </c>
      <c r="O56" s="180">
        <f t="shared" si="87"/>
        <v>2.8577782209812521</v>
      </c>
      <c r="P56" s="180">
        <f t="shared" si="64"/>
        <v>2.3370275229357795</v>
      </c>
      <c r="Q56" s="225">
        <f t="shared" si="6"/>
        <v>0.19051854806541682</v>
      </c>
      <c r="R56" s="225">
        <f t="shared" si="65"/>
        <v>0.35722227762265651</v>
      </c>
      <c r="S56" s="456">
        <f t="shared" si="66"/>
        <v>15</v>
      </c>
      <c r="T56" s="225">
        <f t="shared" si="67"/>
        <v>1.1644535519125683</v>
      </c>
      <c r="U56" s="225">
        <f t="shared" si="10"/>
        <v>3.8815118397085611</v>
      </c>
      <c r="V56" s="225">
        <f t="shared" si="11"/>
        <v>3.054304398459196</v>
      </c>
      <c r="W56" s="205">
        <f t="shared" si="12"/>
        <v>350</v>
      </c>
      <c r="X56" s="456">
        <f t="shared" si="46"/>
        <v>144.17913705628558</v>
      </c>
      <c r="Z56" s="225">
        <f t="shared" si="13"/>
        <v>0.47968545216251629</v>
      </c>
      <c r="AA56" s="181">
        <f t="shared" si="14"/>
        <v>1.258191349934469</v>
      </c>
      <c r="AB56" s="181">
        <f t="shared" si="68"/>
        <v>0.10561881515504945</v>
      </c>
      <c r="AC56" s="181"/>
      <c r="AD56" s="181">
        <f t="shared" si="16"/>
        <v>0.76065573770491812</v>
      </c>
      <c r="AE56" s="565">
        <f t="shared" si="69"/>
        <v>1387.1878715814505</v>
      </c>
      <c r="AF56" s="548">
        <f t="shared" si="70"/>
        <v>3.8603278688524589E-2</v>
      </c>
      <c r="AH56" s="181">
        <f t="shared" si="71"/>
        <v>0.70902347331684701</v>
      </c>
      <c r="AI56" s="181">
        <f t="shared" si="72"/>
        <v>1.1644535519125683</v>
      </c>
      <c r="AJ56" s="181">
        <f t="shared" si="73"/>
        <v>1.8477433717870875</v>
      </c>
      <c r="AL56" s="565">
        <f t="shared" si="74"/>
        <v>153</v>
      </c>
      <c r="AM56" s="474">
        <f t="shared" si="75"/>
        <v>144.17913705628558</v>
      </c>
      <c r="AO56">
        <f t="shared" si="47"/>
        <v>153</v>
      </c>
      <c r="AP56" s="474">
        <f t="shared" si="24"/>
        <v>144.17913705628558</v>
      </c>
      <c r="AQ56" s="474"/>
      <c r="AR56" s="6">
        <f t="shared" si="48"/>
        <v>6.9358162381677566</v>
      </c>
      <c r="AS56" s="6">
        <f t="shared" si="25"/>
        <v>3.8815118397085611</v>
      </c>
      <c r="AT56" s="6">
        <f t="shared" si="49"/>
        <v>3.0543043984591955</v>
      </c>
      <c r="AU56" s="181">
        <f t="shared" si="50"/>
        <v>0.55963302752293576</v>
      </c>
      <c r="AW56" s="6">
        <f t="shared" si="76"/>
        <v>3.9591420765027325</v>
      </c>
      <c r="AX56" s="6">
        <f t="shared" si="77"/>
        <v>7.423391393442623</v>
      </c>
      <c r="AY56" s="6">
        <f t="shared" si="28"/>
        <v>1.0817328077876316</v>
      </c>
      <c r="AZ56" s="6"/>
      <c r="BA56" s="181">
        <f t="shared" si="51"/>
        <v>0.50293656480813542</v>
      </c>
      <c r="BB56" s="181">
        <f t="shared" si="78"/>
        <v>0.44613768797639619</v>
      </c>
      <c r="BC56" s="181">
        <f t="shared" si="79"/>
        <v>0.43982867016662891</v>
      </c>
      <c r="BD56" s="181"/>
      <c r="BE56" s="548">
        <f t="shared" si="31"/>
        <v>8.8530815877352731E-2</v>
      </c>
      <c r="BF56" s="548">
        <f t="shared" si="32"/>
        <v>4.5749999999999999E-2</v>
      </c>
      <c r="BG56" s="548">
        <f t="shared" si="33"/>
        <v>1.8022392132035698E-3</v>
      </c>
      <c r="BH56" s="548">
        <f t="shared" si="34"/>
        <v>6.1560661764705881E-3</v>
      </c>
      <c r="BI56">
        <f t="shared" si="35"/>
        <v>3.48E-3</v>
      </c>
      <c r="BJ56" s="474">
        <f t="shared" si="52"/>
        <v>145.71912126702691</v>
      </c>
      <c r="BK56" s="181">
        <f t="shared" si="80"/>
        <v>5.3549999999999993E-2</v>
      </c>
      <c r="BL56" s="181">
        <f t="shared" si="81"/>
        <v>5.3549999999999993E-2</v>
      </c>
      <c r="BM56" s="548"/>
      <c r="BO56" s="474">
        <f t="shared" si="53"/>
        <v>107.09999999999998</v>
      </c>
      <c r="BP56" s="548">
        <f t="shared" si="38"/>
        <v>0</v>
      </c>
      <c r="BQ56" s="548">
        <f t="shared" si="54"/>
        <v>0</v>
      </c>
      <c r="BR56" s="548">
        <f t="shared" si="82"/>
        <v>1.7410433319049071E-2</v>
      </c>
      <c r="BS56" s="548">
        <f t="shared" si="40"/>
        <v>1.8261291279606084E-2</v>
      </c>
      <c r="BT56" s="658">
        <f t="shared" si="83"/>
        <v>0.20527500000000001</v>
      </c>
      <c r="BU56" s="474">
        <f t="shared" si="55"/>
        <v>240.94672459865518</v>
      </c>
      <c r="BV56" s="181">
        <f t="shared" si="56"/>
        <v>0.49376584586568206</v>
      </c>
      <c r="BW56" s="6">
        <f t="shared" si="57"/>
        <v>3.5190000000000001</v>
      </c>
      <c r="BX56" s="181">
        <f t="shared" si="58"/>
        <v>0.87695124389717261</v>
      </c>
      <c r="BY56" s="6">
        <f t="shared" si="59"/>
        <v>87.695124389717265</v>
      </c>
      <c r="BZ56">
        <f t="shared" si="88"/>
        <v>51</v>
      </c>
      <c r="CB56" s="583">
        <f t="shared" si="84"/>
        <v>-50</v>
      </c>
      <c r="CC56">
        <f t="shared" si="85"/>
        <v>-50</v>
      </c>
    </row>
    <row r="57" spans="5:81" x14ac:dyDescent="0.2">
      <c r="E57" s="178">
        <v>52</v>
      </c>
      <c r="F57" s="225">
        <f t="shared" si="89"/>
        <v>0.156</v>
      </c>
      <c r="G57" s="225">
        <f t="shared" si="86"/>
        <v>0.156</v>
      </c>
      <c r="H57" s="225">
        <f t="shared" si="63"/>
        <v>2.34</v>
      </c>
      <c r="I57" s="225">
        <f t="shared" si="90"/>
        <v>1.248</v>
      </c>
      <c r="J57" s="561">
        <f t="shared" si="1"/>
        <v>12</v>
      </c>
      <c r="K57" s="456">
        <f t="shared" si="2"/>
        <v>15.25</v>
      </c>
      <c r="L57" s="456">
        <f t="shared" si="3"/>
        <v>27.25</v>
      </c>
      <c r="M57" s="456"/>
      <c r="N57" s="225">
        <f t="shared" si="4"/>
        <v>0.55963302752293576</v>
      </c>
      <c r="O57" s="180">
        <f t="shared" si="87"/>
        <v>2.8577782209812521</v>
      </c>
      <c r="P57" s="180">
        <f t="shared" si="64"/>
        <v>2.3370275229357795</v>
      </c>
      <c r="Q57" s="225">
        <f t="shared" si="6"/>
        <v>0.19051854806541682</v>
      </c>
      <c r="R57" s="225">
        <f t="shared" si="65"/>
        <v>0.35722227762265651</v>
      </c>
      <c r="S57" s="456">
        <f t="shared" si="66"/>
        <v>15</v>
      </c>
      <c r="T57" s="225">
        <f t="shared" si="67"/>
        <v>1.1872859744990891</v>
      </c>
      <c r="U57" s="225">
        <f t="shared" si="10"/>
        <v>3.9576199149969638</v>
      </c>
      <c r="V57" s="225">
        <f t="shared" si="11"/>
        <v>3.1141927199976109</v>
      </c>
      <c r="W57" s="205">
        <f t="shared" si="12"/>
        <v>350</v>
      </c>
      <c r="X57" s="456">
        <f t="shared" si="46"/>
        <v>141.40646134366472</v>
      </c>
      <c r="Z57" s="225">
        <f t="shared" si="13"/>
        <v>0.47968545216251629</v>
      </c>
      <c r="AA57" s="181">
        <f t="shared" si="14"/>
        <v>1.258191349934469</v>
      </c>
      <c r="AB57" s="181">
        <f t="shared" si="68"/>
        <v>0.10561881515504945</v>
      </c>
      <c r="AC57" s="181"/>
      <c r="AD57" s="181">
        <f t="shared" si="16"/>
        <v>0.76065573770491812</v>
      </c>
      <c r="AE57" s="565">
        <f t="shared" si="69"/>
        <v>1414.3876337693223</v>
      </c>
      <c r="AF57" s="548">
        <f t="shared" si="70"/>
        <v>3.8603278688524589E-2</v>
      </c>
      <c r="AH57" s="181">
        <f t="shared" si="71"/>
        <v>0.71594093930395442</v>
      </c>
      <c r="AI57" s="181">
        <f t="shared" si="72"/>
        <v>1.1872859744990891</v>
      </c>
      <c r="AJ57" s="181">
        <f t="shared" si="73"/>
        <v>1.8646562774067326</v>
      </c>
      <c r="AL57" s="565">
        <f t="shared" si="74"/>
        <v>156</v>
      </c>
      <c r="AM57" s="474">
        <f t="shared" si="75"/>
        <v>141.40646134366472</v>
      </c>
      <c r="AO57">
        <f t="shared" si="47"/>
        <v>156</v>
      </c>
      <c r="AP57" s="474">
        <f t="shared" si="24"/>
        <v>141.40646134366472</v>
      </c>
      <c r="AQ57" s="474"/>
      <c r="AR57" s="6">
        <f t="shared" si="48"/>
        <v>7.0718126349945747</v>
      </c>
      <c r="AS57" s="6">
        <f t="shared" si="25"/>
        <v>3.9576199149969638</v>
      </c>
      <c r="AT57" s="6">
        <f t="shared" si="49"/>
        <v>3.1141927199976109</v>
      </c>
      <c r="AU57" s="181">
        <f t="shared" si="50"/>
        <v>0.55963302752293576</v>
      </c>
      <c r="AW57" s="6">
        <f t="shared" si="76"/>
        <v>4.1159247115968434</v>
      </c>
      <c r="AX57" s="6">
        <f t="shared" si="77"/>
        <v>7.71735883424408</v>
      </c>
      <c r="AY57" s="6">
        <f t="shared" si="28"/>
        <v>1.1245695933324702</v>
      </c>
      <c r="AZ57" s="6"/>
      <c r="BA57" s="181">
        <f t="shared" si="51"/>
        <v>0.51279806607888323</v>
      </c>
      <c r="BB57" s="181">
        <f t="shared" si="78"/>
        <v>0.45488548577985488</v>
      </c>
      <c r="BC57" s="181">
        <f t="shared" si="79"/>
        <v>0.44845276173852355</v>
      </c>
      <c r="BD57" s="181"/>
      <c r="BE57" s="548">
        <f t="shared" si="31"/>
        <v>9.2036649800984943E-2</v>
      </c>
      <c r="BF57" s="548">
        <f t="shared" si="32"/>
        <v>4.5749999999999999E-2</v>
      </c>
      <c r="BG57" s="548">
        <f t="shared" si="33"/>
        <v>1.7675807667958091E-3</v>
      </c>
      <c r="BH57" s="548">
        <f t="shared" si="34"/>
        <v>6.0376802884615395E-3</v>
      </c>
      <c r="BI57">
        <f t="shared" si="35"/>
        <v>3.48E-3</v>
      </c>
      <c r="BJ57" s="474">
        <f t="shared" si="52"/>
        <v>149.07191085624231</v>
      </c>
      <c r="BK57" s="181">
        <f t="shared" si="80"/>
        <v>5.4599999999999996E-2</v>
      </c>
      <c r="BL57" s="181">
        <f t="shared" si="81"/>
        <v>5.4599999999999996E-2</v>
      </c>
      <c r="BM57" s="548"/>
      <c r="BO57" s="474">
        <f t="shared" si="53"/>
        <v>109.19999999999999</v>
      </c>
      <c r="BP57" s="548">
        <f t="shared" si="38"/>
        <v>0</v>
      </c>
      <c r="BQ57" s="548">
        <f t="shared" si="54"/>
        <v>0</v>
      </c>
      <c r="BR57" s="548">
        <f t="shared" si="82"/>
        <v>1.8099889155981808E-2</v>
      </c>
      <c r="BS57" s="548">
        <f t="shared" si="40"/>
        <v>1.8261291279606042E-2</v>
      </c>
      <c r="BT57" s="658">
        <f t="shared" si="83"/>
        <v>0.20929999999999999</v>
      </c>
      <c r="BU57" s="474">
        <f t="shared" si="55"/>
        <v>245.66118043558782</v>
      </c>
      <c r="BV57" s="181">
        <f t="shared" si="56"/>
        <v>0.50393309129183006</v>
      </c>
      <c r="BW57" s="6">
        <f t="shared" si="57"/>
        <v>3.5880000000000001</v>
      </c>
      <c r="BX57" s="181">
        <f t="shared" si="58"/>
        <v>0.87684718199223111</v>
      </c>
      <c r="BY57" s="6">
        <f t="shared" si="59"/>
        <v>87.684718199223113</v>
      </c>
      <c r="BZ57">
        <f t="shared" si="88"/>
        <v>52</v>
      </c>
      <c r="CB57" s="583">
        <f t="shared" si="84"/>
        <v>-50</v>
      </c>
      <c r="CC57">
        <f t="shared" si="85"/>
        <v>-50</v>
      </c>
    </row>
    <row r="58" spans="5:81" x14ac:dyDescent="0.2">
      <c r="E58" s="178">
        <v>53</v>
      </c>
      <c r="F58" s="225">
        <f t="shared" si="89"/>
        <v>0.159</v>
      </c>
      <c r="G58" s="225">
        <f t="shared" si="86"/>
        <v>0.159</v>
      </c>
      <c r="H58" s="225">
        <f t="shared" si="63"/>
        <v>2.3850000000000002</v>
      </c>
      <c r="I58" s="225">
        <f t="shared" si="90"/>
        <v>1.272</v>
      </c>
      <c r="J58" s="561">
        <f t="shared" si="1"/>
        <v>12</v>
      </c>
      <c r="K58" s="456">
        <f t="shared" si="2"/>
        <v>15.25</v>
      </c>
      <c r="L58" s="456">
        <f t="shared" si="3"/>
        <v>27.25</v>
      </c>
      <c r="M58" s="456"/>
      <c r="N58" s="225">
        <f t="shared" si="4"/>
        <v>0.55963302752293576</v>
      </c>
      <c r="O58" s="180">
        <f t="shared" si="87"/>
        <v>2.8577782209812521</v>
      </c>
      <c r="P58" s="180">
        <f t="shared" si="64"/>
        <v>2.3370275229357795</v>
      </c>
      <c r="Q58" s="225">
        <f t="shared" si="6"/>
        <v>0.19051854806541682</v>
      </c>
      <c r="R58" s="225">
        <f t="shared" si="65"/>
        <v>0.35722227762265651</v>
      </c>
      <c r="S58" s="456">
        <f t="shared" si="66"/>
        <v>15</v>
      </c>
      <c r="T58" s="225">
        <f t="shared" si="67"/>
        <v>1.2101183970856102</v>
      </c>
      <c r="U58" s="225">
        <f t="shared" si="10"/>
        <v>4.0337279902853682</v>
      </c>
      <c r="V58" s="225">
        <f t="shared" si="11"/>
        <v>3.1740810415360268</v>
      </c>
      <c r="W58" s="205">
        <f t="shared" si="12"/>
        <v>350</v>
      </c>
      <c r="X58" s="456">
        <f t="shared" si="46"/>
        <v>138.73841490321817</v>
      </c>
      <c r="Z58" s="225">
        <f t="shared" si="13"/>
        <v>0.47968545216251629</v>
      </c>
      <c r="AA58" s="181">
        <f t="shared" si="14"/>
        <v>1.258191349934469</v>
      </c>
      <c r="AB58" s="181">
        <f t="shared" si="68"/>
        <v>0.10561881515504945</v>
      </c>
      <c r="AC58" s="181"/>
      <c r="AD58" s="181">
        <f t="shared" si="16"/>
        <v>0.76065573770491812</v>
      </c>
      <c r="AE58" s="565">
        <f t="shared" si="69"/>
        <v>1441.5873959571938</v>
      </c>
      <c r="AF58" s="548">
        <f t="shared" si="70"/>
        <v>3.8603278688524589E-2</v>
      </c>
      <c r="AH58" s="181">
        <f t="shared" si="71"/>
        <v>0.72279220487535101</v>
      </c>
      <c r="AI58" s="181">
        <f t="shared" si="72"/>
        <v>1.2101183970856102</v>
      </c>
      <c r="AJ58" s="181">
        <f t="shared" si="73"/>
        <v>1.8815691830263779</v>
      </c>
      <c r="AL58" s="565">
        <f t="shared" si="74"/>
        <v>159</v>
      </c>
      <c r="AM58" s="474">
        <f t="shared" si="75"/>
        <v>138.73841490321817</v>
      </c>
      <c r="AO58">
        <f t="shared" si="47"/>
        <v>159</v>
      </c>
      <c r="AP58" s="474">
        <f t="shared" si="24"/>
        <v>138.73841490321817</v>
      </c>
      <c r="AQ58" s="474"/>
      <c r="AR58" s="6">
        <f t="shared" si="48"/>
        <v>7.2078090318213954</v>
      </c>
      <c r="AS58" s="6">
        <f t="shared" si="25"/>
        <v>4.0337279902853682</v>
      </c>
      <c r="AT58" s="6">
        <f t="shared" si="49"/>
        <v>3.1740810415360272</v>
      </c>
      <c r="AU58" s="181">
        <f t="shared" si="50"/>
        <v>0.55963302752293576</v>
      </c>
      <c r="AW58" s="6">
        <f t="shared" si="76"/>
        <v>4.2757516697024913</v>
      </c>
      <c r="AX58" s="6">
        <f t="shared" si="77"/>
        <v>8.01703438069217</v>
      </c>
      <c r="AY58" s="6">
        <f t="shared" si="28"/>
        <v>1.1682381611208987</v>
      </c>
      <c r="AZ58" s="6"/>
      <c r="BA58" s="181">
        <f t="shared" si="51"/>
        <v>0.52265956734963104</v>
      </c>
      <c r="BB58" s="181">
        <f t="shared" si="78"/>
        <v>0.46363328358331368</v>
      </c>
      <c r="BC58" s="181">
        <f t="shared" si="79"/>
        <v>0.45707685331041836</v>
      </c>
      <c r="BD58" s="181"/>
      <c r="BE58" s="548">
        <f t="shared" si="31"/>
        <v>9.5610558169736223E-2</v>
      </c>
      <c r="BF58" s="548">
        <f t="shared" si="32"/>
        <v>4.5749999999999992E-2</v>
      </c>
      <c r="BG58" s="548">
        <f t="shared" si="33"/>
        <v>1.734230186290227E-3</v>
      </c>
      <c r="BH58" s="548">
        <f t="shared" si="34"/>
        <v>5.9237617924528295E-3</v>
      </c>
      <c r="BI58">
        <f t="shared" si="35"/>
        <v>3.48E-3</v>
      </c>
      <c r="BJ58" s="474">
        <f t="shared" si="52"/>
        <v>152.4985501484793</v>
      </c>
      <c r="BK58" s="181">
        <f t="shared" si="80"/>
        <v>5.5649999999999998E-2</v>
      </c>
      <c r="BL58" s="181">
        <f t="shared" si="81"/>
        <v>5.5649999999999998E-2</v>
      </c>
      <c r="BM58" s="548"/>
      <c r="BO58" s="474">
        <f t="shared" si="53"/>
        <v>111.3</v>
      </c>
      <c r="BP58" s="548">
        <f t="shared" si="38"/>
        <v>0</v>
      </c>
      <c r="BQ58" s="548">
        <f t="shared" si="54"/>
        <v>0</v>
      </c>
      <c r="BR58" s="548">
        <f t="shared" si="82"/>
        <v>1.8802732484893833E-2</v>
      </c>
      <c r="BS58" s="548">
        <f t="shared" si="40"/>
        <v>1.8261291279606059E-2</v>
      </c>
      <c r="BT58" s="658">
        <f t="shared" si="83"/>
        <v>0.21332499999999999</v>
      </c>
      <c r="BU58" s="474">
        <f t="shared" si="55"/>
        <v>250.38902376449988</v>
      </c>
      <c r="BV58" s="181">
        <f t="shared" si="56"/>
        <v>0.5141875739129792</v>
      </c>
      <c r="BW58" s="6">
        <f t="shared" si="57"/>
        <v>3.657</v>
      </c>
      <c r="BX58" s="181">
        <f t="shared" si="58"/>
        <v>0.8767287337714661</v>
      </c>
      <c r="BY58" s="6">
        <f t="shared" si="59"/>
        <v>87.672873377146615</v>
      </c>
      <c r="BZ58">
        <f t="shared" si="88"/>
        <v>53</v>
      </c>
      <c r="CB58" s="583">
        <f t="shared" si="84"/>
        <v>-50</v>
      </c>
      <c r="CC58">
        <f t="shared" si="85"/>
        <v>-50</v>
      </c>
    </row>
    <row r="59" spans="5:81" x14ac:dyDescent="0.2">
      <c r="E59" s="178">
        <v>54</v>
      </c>
      <c r="F59" s="225">
        <f t="shared" si="89"/>
        <v>0.16200000000000001</v>
      </c>
      <c r="G59" s="225">
        <f t="shared" si="86"/>
        <v>0.16200000000000001</v>
      </c>
      <c r="H59" s="225">
        <f t="shared" si="63"/>
        <v>2.4300000000000002</v>
      </c>
      <c r="I59" s="225">
        <f t="shared" si="90"/>
        <v>1.296</v>
      </c>
      <c r="J59" s="561">
        <f t="shared" si="1"/>
        <v>12</v>
      </c>
      <c r="K59" s="456">
        <f t="shared" si="2"/>
        <v>15.25</v>
      </c>
      <c r="L59" s="456">
        <f t="shared" si="3"/>
        <v>27.25</v>
      </c>
      <c r="M59" s="456"/>
      <c r="N59" s="225">
        <f t="shared" si="4"/>
        <v>0.55963302752293576</v>
      </c>
      <c r="O59" s="180">
        <f t="shared" si="87"/>
        <v>2.8577782209812521</v>
      </c>
      <c r="P59" s="180">
        <f t="shared" si="64"/>
        <v>2.3370275229357795</v>
      </c>
      <c r="Q59" s="225">
        <f t="shared" si="6"/>
        <v>0.19051854806541682</v>
      </c>
      <c r="R59" s="225">
        <f t="shared" si="65"/>
        <v>0.35722227762265651</v>
      </c>
      <c r="S59" s="456">
        <f t="shared" si="66"/>
        <v>15</v>
      </c>
      <c r="T59" s="225">
        <f t="shared" si="67"/>
        <v>1.232950819672131</v>
      </c>
      <c r="U59" s="225">
        <f t="shared" si="10"/>
        <v>4.1098360655737709</v>
      </c>
      <c r="V59" s="225">
        <f t="shared" si="11"/>
        <v>3.2339693630744422</v>
      </c>
      <c r="W59" s="205">
        <f t="shared" si="12"/>
        <v>350</v>
      </c>
      <c r="X59" s="456">
        <f t="shared" si="46"/>
        <v>136.16918499760303</v>
      </c>
      <c r="Z59" s="225">
        <f t="shared" si="13"/>
        <v>0.47968545216251629</v>
      </c>
      <c r="AA59" s="181">
        <f t="shared" si="14"/>
        <v>1.258191349934469</v>
      </c>
      <c r="AB59" s="181">
        <f t="shared" si="68"/>
        <v>0.10561881515504945</v>
      </c>
      <c r="AC59" s="181"/>
      <c r="AD59" s="181">
        <f t="shared" si="16"/>
        <v>0.76065573770491812</v>
      </c>
      <c r="AE59" s="565">
        <f t="shared" si="69"/>
        <v>1468.7871581450654</v>
      </c>
      <c r="AF59" s="548">
        <f t="shared" si="70"/>
        <v>3.8603278688524589E-2</v>
      </c>
      <c r="AH59" s="181">
        <f t="shared" si="71"/>
        <v>0.72957913503999983</v>
      </c>
      <c r="AI59" s="181">
        <f t="shared" si="72"/>
        <v>1.232950819672131</v>
      </c>
      <c r="AJ59" s="181">
        <f t="shared" si="73"/>
        <v>1.898482088646023</v>
      </c>
      <c r="AL59" s="565">
        <f t="shared" si="74"/>
        <v>162</v>
      </c>
      <c r="AM59" s="474">
        <f t="shared" si="75"/>
        <v>136.16918499760303</v>
      </c>
      <c r="AO59">
        <f t="shared" si="47"/>
        <v>162</v>
      </c>
      <c r="AP59" s="474">
        <f t="shared" si="24"/>
        <v>136.16918499760303</v>
      </c>
      <c r="AQ59" s="474"/>
      <c r="AR59" s="6">
        <f t="shared" si="48"/>
        <v>7.3438054286482135</v>
      </c>
      <c r="AS59" s="6">
        <f t="shared" si="25"/>
        <v>4.1098360655737709</v>
      </c>
      <c r="AT59" s="6">
        <f t="shared" si="49"/>
        <v>3.2339693630744426</v>
      </c>
      <c r="AU59" s="181">
        <f t="shared" si="50"/>
        <v>0.55963302752293576</v>
      </c>
      <c r="AW59" s="6">
        <f t="shared" si="76"/>
        <v>4.4386229508196724</v>
      </c>
      <c r="AX59" s="6">
        <f t="shared" si="77"/>
        <v>8.3224180327868851</v>
      </c>
      <c r="AY59" s="6">
        <f t="shared" si="28"/>
        <v>1.2127385111529159</v>
      </c>
      <c r="AZ59" s="6"/>
      <c r="BA59" s="181">
        <f t="shared" si="51"/>
        <v>0.53252106862037873</v>
      </c>
      <c r="BB59" s="181">
        <f t="shared" si="78"/>
        <v>0.47238108138677237</v>
      </c>
      <c r="BC59" s="181">
        <f t="shared" si="79"/>
        <v>0.46570094488231295</v>
      </c>
      <c r="BD59" s="181"/>
      <c r="BE59" s="548">
        <f t="shared" si="31"/>
        <v>9.925254098360653E-2</v>
      </c>
      <c r="BF59" s="548">
        <f t="shared" si="32"/>
        <v>4.5749999999999992E-2</v>
      </c>
      <c r="BG59" s="548">
        <f t="shared" si="33"/>
        <v>1.7021148124700379E-3</v>
      </c>
      <c r="BH59" s="548">
        <f t="shared" si="34"/>
        <v>5.8140624999999989E-3</v>
      </c>
      <c r="BI59">
        <f t="shared" si="35"/>
        <v>3.48E-3</v>
      </c>
      <c r="BJ59" s="474">
        <f t="shared" si="52"/>
        <v>155.99871829607656</v>
      </c>
      <c r="BK59" s="181">
        <f t="shared" si="80"/>
        <v>5.67E-2</v>
      </c>
      <c r="BL59" s="181">
        <f t="shared" si="81"/>
        <v>5.67E-2</v>
      </c>
      <c r="BM59" s="548"/>
      <c r="BO59" s="474">
        <f t="shared" si="53"/>
        <v>113.4</v>
      </c>
      <c r="BP59" s="548">
        <f t="shared" si="38"/>
        <v>0</v>
      </c>
      <c r="BQ59" s="548">
        <f t="shared" si="54"/>
        <v>0</v>
      </c>
      <c r="BR59" s="548">
        <f t="shared" si="82"/>
        <v>1.9518963305785116E-2</v>
      </c>
      <c r="BS59" s="548">
        <f t="shared" si="40"/>
        <v>1.8261291279606039E-2</v>
      </c>
      <c r="BT59" s="658">
        <f t="shared" si="83"/>
        <v>0.21734999999999996</v>
      </c>
      <c r="BU59" s="474">
        <f t="shared" si="55"/>
        <v>255.13025458539113</v>
      </c>
      <c r="BV59" s="181">
        <f t="shared" si="56"/>
        <v>0.5245289728814676</v>
      </c>
      <c r="BW59" s="6">
        <f t="shared" si="57"/>
        <v>3.726</v>
      </c>
      <c r="BX59" s="181">
        <f t="shared" si="58"/>
        <v>0.87659677742982522</v>
      </c>
      <c r="BY59" s="6">
        <f t="shared" si="59"/>
        <v>87.659677742982524</v>
      </c>
      <c r="BZ59">
        <f t="shared" si="88"/>
        <v>54</v>
      </c>
      <c r="CB59" s="583">
        <f t="shared" si="84"/>
        <v>-50</v>
      </c>
      <c r="CC59">
        <f t="shared" si="85"/>
        <v>-50</v>
      </c>
    </row>
    <row r="60" spans="5:81" x14ac:dyDescent="0.2">
      <c r="E60" s="178">
        <v>55</v>
      </c>
      <c r="F60" s="225">
        <f t="shared" si="89"/>
        <v>0.16500000000000001</v>
      </c>
      <c r="G60" s="225">
        <f t="shared" si="86"/>
        <v>0.16500000000000001</v>
      </c>
      <c r="H60" s="225">
        <f t="shared" si="63"/>
        <v>2.4750000000000001</v>
      </c>
      <c r="I60" s="225">
        <f t="shared" si="90"/>
        <v>1.32</v>
      </c>
      <c r="J60" s="561">
        <f t="shared" si="1"/>
        <v>12</v>
      </c>
      <c r="K60" s="456">
        <f t="shared" si="2"/>
        <v>15.25</v>
      </c>
      <c r="L60" s="456">
        <f t="shared" si="3"/>
        <v>27.25</v>
      </c>
      <c r="M60" s="456"/>
      <c r="N60" s="225">
        <f t="shared" si="4"/>
        <v>0.55963302752293576</v>
      </c>
      <c r="O60" s="180">
        <f t="shared" si="87"/>
        <v>2.8577782209812521</v>
      </c>
      <c r="P60" s="180">
        <f t="shared" si="64"/>
        <v>2.3370275229357795</v>
      </c>
      <c r="Q60" s="225">
        <f t="shared" si="6"/>
        <v>0.19051854806541682</v>
      </c>
      <c r="R60" s="225">
        <f t="shared" si="65"/>
        <v>0.35722227762265651</v>
      </c>
      <c r="S60" s="456">
        <f t="shared" si="66"/>
        <v>15</v>
      </c>
      <c r="T60" s="225">
        <f t="shared" si="67"/>
        <v>1.2557832422586519</v>
      </c>
      <c r="U60" s="225">
        <f t="shared" si="10"/>
        <v>4.1859441408621736</v>
      </c>
      <c r="V60" s="225">
        <f t="shared" si="11"/>
        <v>3.2938576846128576</v>
      </c>
      <c r="W60" s="205">
        <f t="shared" si="12"/>
        <v>350</v>
      </c>
      <c r="X60" s="456">
        <f t="shared" si="46"/>
        <v>133.69338163401028</v>
      </c>
      <c r="Z60" s="225">
        <f t="shared" si="13"/>
        <v>0.47968545216251629</v>
      </c>
      <c r="AA60" s="181">
        <f t="shared" si="14"/>
        <v>1.258191349934469</v>
      </c>
      <c r="AB60" s="181">
        <f t="shared" si="68"/>
        <v>0.10561881515504945</v>
      </c>
      <c r="AC60" s="181"/>
      <c r="AD60" s="181">
        <f t="shared" si="16"/>
        <v>0.76065573770491812</v>
      </c>
      <c r="AE60" s="565">
        <f t="shared" si="69"/>
        <v>1495.986920332937</v>
      </c>
      <c r="AF60" s="548">
        <f t="shared" si="70"/>
        <v>3.8603278688524589E-2</v>
      </c>
      <c r="AH60" s="181">
        <f t="shared" si="71"/>
        <v>0.73630350884866569</v>
      </c>
      <c r="AI60" s="181">
        <f t="shared" si="72"/>
        <v>1.2557832422586519</v>
      </c>
      <c r="AJ60" s="181">
        <f t="shared" si="73"/>
        <v>1.9153949942656681</v>
      </c>
      <c r="AL60" s="565">
        <f t="shared" si="74"/>
        <v>165</v>
      </c>
      <c r="AM60" s="474">
        <f t="shared" si="75"/>
        <v>133.69338163401028</v>
      </c>
      <c r="AO60">
        <f t="shared" si="47"/>
        <v>165</v>
      </c>
      <c r="AP60">
        <f t="shared" si="24"/>
        <v>133.69338163401028</v>
      </c>
      <c r="AR60" s="6">
        <f t="shared" si="48"/>
        <v>7.4798018254750307</v>
      </c>
      <c r="AS60" s="6">
        <f t="shared" si="25"/>
        <v>4.1859441408621736</v>
      </c>
      <c r="AT60" s="6">
        <f t="shared" si="49"/>
        <v>3.2938576846128571</v>
      </c>
      <c r="AU60" s="181">
        <f t="shared" si="50"/>
        <v>0.55963302752293587</v>
      </c>
      <c r="AW60" s="6">
        <f t="shared" si="76"/>
        <v>4.604538554948391</v>
      </c>
      <c r="AX60" s="6">
        <f t="shared" si="77"/>
        <v>8.633509790528235</v>
      </c>
      <c r="AY60" s="6">
        <f t="shared" si="28"/>
        <v>1.2580706434285216</v>
      </c>
      <c r="AZ60" s="6"/>
      <c r="BA60" s="181">
        <f t="shared" si="51"/>
        <v>0.54238256989112654</v>
      </c>
      <c r="BB60" s="181">
        <f t="shared" si="78"/>
        <v>0.48112887919023112</v>
      </c>
      <c r="BC60" s="181">
        <f t="shared" si="79"/>
        <v>0.47432503645420754</v>
      </c>
      <c r="BD60" s="181"/>
      <c r="BE60" s="548">
        <f t="shared" si="31"/>
        <v>0.10296259824259596</v>
      </c>
      <c r="BF60" s="548">
        <f t="shared" si="32"/>
        <v>4.5749999999999999E-2</v>
      </c>
      <c r="BG60" s="548">
        <f t="shared" si="33"/>
        <v>1.6711672704251283E-3</v>
      </c>
      <c r="BH60" s="548">
        <f t="shared" si="34"/>
        <v>5.7083522727272738E-3</v>
      </c>
      <c r="BI60">
        <f t="shared" si="35"/>
        <v>3.48E-3</v>
      </c>
      <c r="BJ60" s="474">
        <f t="shared" si="52"/>
        <v>159.57211778574839</v>
      </c>
      <c r="BK60" s="181">
        <f t="shared" si="80"/>
        <v>5.7749999999999996E-2</v>
      </c>
      <c r="BL60" s="181">
        <f t="shared" si="81"/>
        <v>5.7749999999999996E-2</v>
      </c>
      <c r="BM60" s="548"/>
      <c r="BO60" s="474">
        <f t="shared" si="53"/>
        <v>115.49999999999999</v>
      </c>
      <c r="BP60" s="548">
        <f t="shared" si="38"/>
        <v>0</v>
      </c>
      <c r="BQ60" s="548">
        <f t="shared" si="54"/>
        <v>0</v>
      </c>
      <c r="BR60" s="548">
        <f t="shared" si="82"/>
        <v>2.0248581618655677E-2</v>
      </c>
      <c r="BS60" s="548">
        <f t="shared" si="40"/>
        <v>1.8261291279606073E-2</v>
      </c>
      <c r="BT60" s="658">
        <f t="shared" si="83"/>
        <v>0.22137499999999999</v>
      </c>
      <c r="BU60" s="474">
        <f t="shared" si="55"/>
        <v>259.88487289826173</v>
      </c>
      <c r="BV60" s="181">
        <f t="shared" si="56"/>
        <v>0.53495699068401015</v>
      </c>
      <c r="BW60" s="6">
        <f t="shared" si="57"/>
        <v>3.7949999999999999</v>
      </c>
      <c r="BX60" s="181">
        <f t="shared" si="58"/>
        <v>0.87645212369661374</v>
      </c>
      <c r="BY60" s="6">
        <f t="shared" si="59"/>
        <v>87.64521236966138</v>
      </c>
      <c r="BZ60">
        <f t="shared" si="88"/>
        <v>55.000000000000007</v>
      </c>
      <c r="CB60" s="583">
        <f t="shared" si="84"/>
        <v>-50</v>
      </c>
      <c r="CC60">
        <f t="shared" si="85"/>
        <v>-50</v>
      </c>
    </row>
    <row r="61" spans="5:81" x14ac:dyDescent="0.2">
      <c r="E61" s="178">
        <v>56</v>
      </c>
      <c r="F61" s="225">
        <f t="shared" si="89"/>
        <v>0.16800000000000001</v>
      </c>
      <c r="G61" s="225">
        <f t="shared" si="86"/>
        <v>0.16800000000000001</v>
      </c>
      <c r="H61" s="225">
        <f t="shared" si="63"/>
        <v>2.52</v>
      </c>
      <c r="I61" s="225">
        <f t="shared" si="90"/>
        <v>1.3440000000000001</v>
      </c>
      <c r="J61" s="561">
        <f t="shared" si="1"/>
        <v>12</v>
      </c>
      <c r="K61" s="456">
        <f t="shared" si="2"/>
        <v>15.25</v>
      </c>
      <c r="L61" s="456">
        <f t="shared" si="3"/>
        <v>27.25</v>
      </c>
      <c r="M61" s="456"/>
      <c r="N61" s="225">
        <f t="shared" si="4"/>
        <v>0.55963302752293576</v>
      </c>
      <c r="O61" s="180">
        <f t="shared" si="87"/>
        <v>2.8577782209812521</v>
      </c>
      <c r="P61" s="180">
        <f t="shared" si="64"/>
        <v>2.3370275229357795</v>
      </c>
      <c r="Q61" s="225">
        <f t="shared" si="6"/>
        <v>0.19051854806541682</v>
      </c>
      <c r="R61" s="225">
        <f t="shared" si="65"/>
        <v>0.35722227762265651</v>
      </c>
      <c r="S61" s="456">
        <f t="shared" si="66"/>
        <v>15</v>
      </c>
      <c r="T61" s="225">
        <f t="shared" si="67"/>
        <v>1.278615664845173</v>
      </c>
      <c r="U61" s="225">
        <f t="shared" si="10"/>
        <v>4.2620522161505772</v>
      </c>
      <c r="V61" s="225">
        <f t="shared" si="11"/>
        <v>3.3537460061512734</v>
      </c>
      <c r="W61" s="205">
        <f t="shared" si="12"/>
        <v>350</v>
      </c>
      <c r="X61" s="456">
        <f t="shared" si="46"/>
        <v>131.30599981911723</v>
      </c>
      <c r="Z61" s="225">
        <f t="shared" si="13"/>
        <v>0.47968545216251629</v>
      </c>
      <c r="AA61" s="181">
        <f t="shared" si="14"/>
        <v>1.258191349934469</v>
      </c>
      <c r="AB61" s="181">
        <f t="shared" si="68"/>
        <v>0.10561881515504945</v>
      </c>
      <c r="AC61" s="181"/>
      <c r="AD61" s="181">
        <f t="shared" si="16"/>
        <v>0.76065573770491812</v>
      </c>
      <c r="AE61" s="565">
        <f t="shared" si="69"/>
        <v>1523.1866825208087</v>
      </c>
      <c r="AF61" s="548">
        <f t="shared" si="70"/>
        <v>3.8603278688524589E-2</v>
      </c>
      <c r="AH61" s="181">
        <f t="shared" si="71"/>
        <v>0.74296702484026833</v>
      </c>
      <c r="AI61" s="181">
        <f t="shared" si="72"/>
        <v>1.278615664845173</v>
      </c>
      <c r="AJ61" s="181">
        <f t="shared" si="73"/>
        <v>1.9323078998853132</v>
      </c>
      <c r="AL61" s="565">
        <f t="shared" si="74"/>
        <v>168</v>
      </c>
      <c r="AM61" s="474">
        <f t="shared" si="75"/>
        <v>131.30599981911723</v>
      </c>
      <c r="AO61">
        <f t="shared" si="47"/>
        <v>168</v>
      </c>
      <c r="AP61">
        <f t="shared" si="24"/>
        <v>131.30599981911723</v>
      </c>
      <c r="AR61" s="6">
        <f t="shared" si="48"/>
        <v>7.6157982223018497</v>
      </c>
      <c r="AS61" s="6">
        <f t="shared" si="25"/>
        <v>4.2620522161505772</v>
      </c>
      <c r="AT61" s="6">
        <f t="shared" si="49"/>
        <v>3.3537460061512725</v>
      </c>
      <c r="AU61" s="181">
        <f t="shared" si="50"/>
        <v>0.55963302752293587</v>
      </c>
      <c r="AW61" s="6">
        <f t="shared" si="76"/>
        <v>4.7734984820886472</v>
      </c>
      <c r="AX61" s="6">
        <f t="shared" si="77"/>
        <v>8.9503096539162126</v>
      </c>
      <c r="AY61" s="6">
        <f t="shared" si="28"/>
        <v>1.3042345579477168</v>
      </c>
      <c r="AZ61" s="6"/>
      <c r="BA61" s="181">
        <f t="shared" si="51"/>
        <v>0.55224407116187435</v>
      </c>
      <c r="BB61" s="181">
        <f t="shared" si="78"/>
        <v>0.48987667699368992</v>
      </c>
      <c r="BC61" s="181">
        <f t="shared" si="79"/>
        <v>0.48294912802610229</v>
      </c>
      <c r="BD61" s="181"/>
      <c r="BE61" s="548">
        <f t="shared" si="31"/>
        <v>0.10674072994670446</v>
      </c>
      <c r="BF61" s="548">
        <f t="shared" si="32"/>
        <v>4.5749999999999999E-2</v>
      </c>
      <c r="BG61" s="548">
        <f t="shared" si="33"/>
        <v>1.6413249977389652E-3</v>
      </c>
      <c r="BH61" s="548">
        <f t="shared" si="34"/>
        <v>5.6064174107142862E-3</v>
      </c>
      <c r="BI61">
        <f t="shared" si="35"/>
        <v>3.48E-3</v>
      </c>
      <c r="BJ61" s="474">
        <f t="shared" si="52"/>
        <v>163.21847235515773</v>
      </c>
      <c r="BK61" s="181">
        <f t="shared" si="80"/>
        <v>5.8799999999999998E-2</v>
      </c>
      <c r="BL61" s="181">
        <f t="shared" si="81"/>
        <v>5.8799999999999998E-2</v>
      </c>
      <c r="BM61" s="548"/>
      <c r="BO61" s="474">
        <f t="shared" si="53"/>
        <v>117.6</v>
      </c>
      <c r="BP61" s="548">
        <f t="shared" si="38"/>
        <v>0</v>
      </c>
      <c r="BQ61" s="548">
        <f t="shared" si="54"/>
        <v>0</v>
      </c>
      <c r="BR61" s="548">
        <f t="shared" si="82"/>
        <v>2.0991587423505528E-2</v>
      </c>
      <c r="BS61" s="548">
        <f t="shared" si="40"/>
        <v>1.8261291279606084E-2</v>
      </c>
      <c r="BT61" s="658">
        <f t="shared" si="83"/>
        <v>0.22540000000000002</v>
      </c>
      <c r="BU61" s="474">
        <f t="shared" si="55"/>
        <v>264.65287870311158</v>
      </c>
      <c r="BV61" s="181">
        <f t="shared" si="56"/>
        <v>0.54547135105826938</v>
      </c>
      <c r="BW61" s="6">
        <f t="shared" si="57"/>
        <v>3.8639999999999999</v>
      </c>
      <c r="BX61" s="181">
        <f t="shared" si="58"/>
        <v>0.87629552215429252</v>
      </c>
      <c r="BY61" s="6">
        <f t="shared" si="59"/>
        <v>87.629552215429257</v>
      </c>
      <c r="BZ61">
        <f t="shared" si="88"/>
        <v>56.000000000000007</v>
      </c>
      <c r="CB61" s="583">
        <f t="shared" si="84"/>
        <v>-50</v>
      </c>
      <c r="CC61">
        <f t="shared" si="85"/>
        <v>-50</v>
      </c>
    </row>
    <row r="62" spans="5:81" x14ac:dyDescent="0.2">
      <c r="E62" s="178">
        <v>57</v>
      </c>
      <c r="F62" s="225">
        <f t="shared" si="89"/>
        <v>0.17099999999999999</v>
      </c>
      <c r="G62" s="225">
        <f t="shared" si="86"/>
        <v>0.17099999999999999</v>
      </c>
      <c r="H62" s="225">
        <f t="shared" si="63"/>
        <v>2.5649999999999999</v>
      </c>
      <c r="I62" s="225">
        <f t="shared" si="90"/>
        <v>1.3679999999999999</v>
      </c>
      <c r="J62" s="561">
        <f t="shared" si="1"/>
        <v>12</v>
      </c>
      <c r="K62" s="456">
        <f t="shared" si="2"/>
        <v>15.25</v>
      </c>
      <c r="L62" s="456">
        <f t="shared" si="3"/>
        <v>27.25</v>
      </c>
      <c r="M62" s="456"/>
      <c r="N62" s="225">
        <f t="shared" si="4"/>
        <v>0.55963302752293576</v>
      </c>
      <c r="O62" s="180">
        <f t="shared" si="87"/>
        <v>2.8577782209812521</v>
      </c>
      <c r="P62" s="180">
        <f t="shared" si="64"/>
        <v>2.3370275229357795</v>
      </c>
      <c r="Q62" s="225">
        <f t="shared" si="6"/>
        <v>0.19051854806541682</v>
      </c>
      <c r="R62" s="225">
        <f t="shared" si="65"/>
        <v>0.35722227762265651</v>
      </c>
      <c r="S62" s="456">
        <f t="shared" si="66"/>
        <v>15</v>
      </c>
      <c r="T62" s="225">
        <f t="shared" si="67"/>
        <v>1.3014480874316938</v>
      </c>
      <c r="U62" s="225">
        <f t="shared" si="10"/>
        <v>4.3381602914389799</v>
      </c>
      <c r="V62" s="225">
        <f t="shared" si="11"/>
        <v>3.4136343276896892</v>
      </c>
      <c r="W62" s="205">
        <f t="shared" si="12"/>
        <v>350</v>
      </c>
      <c r="X62" s="456">
        <f t="shared" si="46"/>
        <v>129.00238578720288</v>
      </c>
      <c r="Z62" s="225">
        <f t="shared" si="13"/>
        <v>0.47968545216251629</v>
      </c>
      <c r="AA62" s="181">
        <f t="shared" si="14"/>
        <v>1.258191349934469</v>
      </c>
      <c r="AB62" s="181">
        <f t="shared" si="68"/>
        <v>0.10561881515504945</v>
      </c>
      <c r="AC62" s="181"/>
      <c r="AD62" s="181">
        <f t="shared" si="16"/>
        <v>0.76065573770491812</v>
      </c>
      <c r="AE62" s="565">
        <f t="shared" si="69"/>
        <v>1550.3864447086801</v>
      </c>
      <c r="AF62" s="548">
        <f t="shared" si="70"/>
        <v>3.8603278688524589E-2</v>
      </c>
      <c r="AH62" s="181">
        <f t="shared" si="71"/>
        <v>0.74957130605242805</v>
      </c>
      <c r="AI62" s="181">
        <f t="shared" si="72"/>
        <v>1.3014480874316938</v>
      </c>
      <c r="AJ62" s="181">
        <f t="shared" si="73"/>
        <v>1.9492208055049582</v>
      </c>
      <c r="AL62" s="565">
        <f t="shared" si="74"/>
        <v>170.99999999999997</v>
      </c>
      <c r="AM62" s="474">
        <f t="shared" si="75"/>
        <v>129.00238578720288</v>
      </c>
      <c r="AO62">
        <f t="shared" si="47"/>
        <v>170.99999999999997</v>
      </c>
      <c r="AP62">
        <f t="shared" si="24"/>
        <v>129.00238578720288</v>
      </c>
      <c r="AR62" s="6">
        <f t="shared" si="48"/>
        <v>7.7517946191286686</v>
      </c>
      <c r="AS62" s="6">
        <f t="shared" si="25"/>
        <v>4.3381602914389799</v>
      </c>
      <c r="AT62" s="6">
        <f t="shared" si="49"/>
        <v>3.4136343276896888</v>
      </c>
      <c r="AU62" s="181">
        <f t="shared" si="50"/>
        <v>0.55963302752293576</v>
      </c>
      <c r="AW62" s="6">
        <f t="shared" si="76"/>
        <v>4.9455027322404366</v>
      </c>
      <c r="AX62" s="6">
        <f t="shared" si="77"/>
        <v>9.2728176229508179</v>
      </c>
      <c r="AY62" s="6">
        <f t="shared" si="28"/>
        <v>1.3512302547105017</v>
      </c>
      <c r="AZ62" s="6"/>
      <c r="BA62" s="181">
        <f t="shared" si="51"/>
        <v>0.56210557243262194</v>
      </c>
      <c r="BB62" s="181">
        <f t="shared" si="78"/>
        <v>0.49862447479714861</v>
      </c>
      <c r="BC62" s="181">
        <f t="shared" si="79"/>
        <v>0.49157321959799699</v>
      </c>
      <c r="BD62" s="181"/>
      <c r="BE62" s="548">
        <f t="shared" si="31"/>
        <v>0.11058693609593195</v>
      </c>
      <c r="BF62" s="548">
        <f t="shared" si="32"/>
        <v>4.5749999999999992E-2</v>
      </c>
      <c r="BG62" s="548">
        <f t="shared" si="33"/>
        <v>1.6125298223400358E-3</v>
      </c>
      <c r="BH62" s="548">
        <f t="shared" si="34"/>
        <v>5.508059210526316E-3</v>
      </c>
      <c r="BI62">
        <f t="shared" si="35"/>
        <v>3.48E-3</v>
      </c>
      <c r="BJ62" s="474">
        <f t="shared" si="52"/>
        <v>166.93752512879831</v>
      </c>
      <c r="BK62" s="181">
        <f t="shared" si="80"/>
        <v>5.9849999999999993E-2</v>
      </c>
      <c r="BL62" s="181">
        <f t="shared" si="81"/>
        <v>5.9849999999999993E-2</v>
      </c>
      <c r="BM62" s="548"/>
      <c r="BO62" s="474">
        <f t="shared" si="53"/>
        <v>119.69999999999999</v>
      </c>
      <c r="BP62" s="548">
        <f t="shared" si="38"/>
        <v>0</v>
      </c>
      <c r="BQ62" s="548">
        <f t="shared" si="54"/>
        <v>0</v>
      </c>
      <c r="BR62" s="548">
        <f t="shared" si="82"/>
        <v>2.174798072033465E-2</v>
      </c>
      <c r="BS62" s="548">
        <f t="shared" si="40"/>
        <v>1.8261291279606035E-2</v>
      </c>
      <c r="BT62" s="658">
        <f t="shared" si="83"/>
        <v>0.22942499999999996</v>
      </c>
      <c r="BU62" s="474">
        <f t="shared" si="55"/>
        <v>269.43427199994062</v>
      </c>
      <c r="BV62" s="181">
        <f t="shared" si="56"/>
        <v>0.55607179712873889</v>
      </c>
      <c r="BW62" s="6">
        <f t="shared" si="57"/>
        <v>3.9329999999999998</v>
      </c>
      <c r="BX62" s="181">
        <f t="shared" si="58"/>
        <v>0.87612766686324572</v>
      </c>
      <c r="BY62" s="6">
        <f t="shared" si="59"/>
        <v>87.612766686324576</v>
      </c>
      <c r="BZ62">
        <f t="shared" si="88"/>
        <v>56.999999999999993</v>
      </c>
      <c r="CB62" s="583">
        <f t="shared" si="84"/>
        <v>-50</v>
      </c>
      <c r="CC62">
        <f t="shared" si="85"/>
        <v>-50</v>
      </c>
    </row>
    <row r="63" spans="5:81" x14ac:dyDescent="0.2">
      <c r="E63" s="178">
        <v>58</v>
      </c>
      <c r="F63" s="225">
        <f t="shared" si="89"/>
        <v>0.17399999999999999</v>
      </c>
      <c r="G63" s="225">
        <f t="shared" si="86"/>
        <v>0.17399999999999999</v>
      </c>
      <c r="H63" s="225">
        <f t="shared" si="63"/>
        <v>2.61</v>
      </c>
      <c r="I63" s="225">
        <f t="shared" si="90"/>
        <v>1.3919999999999999</v>
      </c>
      <c r="J63" s="561">
        <f t="shared" si="1"/>
        <v>12</v>
      </c>
      <c r="K63" s="456">
        <f t="shared" si="2"/>
        <v>15.25</v>
      </c>
      <c r="L63" s="456">
        <f t="shared" si="3"/>
        <v>27.25</v>
      </c>
      <c r="M63" s="456"/>
      <c r="N63" s="225">
        <f t="shared" si="4"/>
        <v>0.55963302752293576</v>
      </c>
      <c r="O63" s="180">
        <f t="shared" si="87"/>
        <v>2.8577782209812521</v>
      </c>
      <c r="P63" s="180">
        <f t="shared" si="64"/>
        <v>2.3370275229357795</v>
      </c>
      <c r="Q63" s="225">
        <f t="shared" si="6"/>
        <v>0.19051854806541682</v>
      </c>
      <c r="R63" s="225">
        <f t="shared" si="65"/>
        <v>0.35722227762265651</v>
      </c>
      <c r="S63" s="456">
        <f t="shared" si="66"/>
        <v>15</v>
      </c>
      <c r="T63" s="225">
        <f t="shared" si="67"/>
        <v>1.3242805100182147</v>
      </c>
      <c r="U63" s="225">
        <f t="shared" si="10"/>
        <v>4.4142683667273825</v>
      </c>
      <c r="V63" s="225">
        <f t="shared" si="11"/>
        <v>3.4735226492281046</v>
      </c>
      <c r="W63" s="205">
        <f t="shared" si="12"/>
        <v>350</v>
      </c>
      <c r="X63" s="456">
        <f t="shared" si="46"/>
        <v>126.77820672190629</v>
      </c>
      <c r="Z63" s="225">
        <f t="shared" si="13"/>
        <v>0.47968545216251629</v>
      </c>
      <c r="AA63" s="181">
        <f t="shared" si="14"/>
        <v>1.258191349934469</v>
      </c>
      <c r="AB63" s="181">
        <f t="shared" si="68"/>
        <v>0.10561881515504945</v>
      </c>
      <c r="AC63" s="181"/>
      <c r="AD63" s="181">
        <f t="shared" si="16"/>
        <v>0.76065573770491812</v>
      </c>
      <c r="AE63" s="565">
        <f t="shared" si="69"/>
        <v>1577.5862068965516</v>
      </c>
      <c r="AF63" s="548">
        <f t="shared" si="70"/>
        <v>3.8603278688524589E-2</v>
      </c>
      <c r="AH63" s="181">
        <f t="shared" si="71"/>
        <v>0.75611790463808326</v>
      </c>
      <c r="AI63" s="181">
        <f t="shared" si="72"/>
        <v>1.3242805100182147</v>
      </c>
      <c r="AJ63" s="181">
        <f t="shared" si="73"/>
        <v>1.9661337111246033</v>
      </c>
      <c r="AL63" s="565">
        <f t="shared" si="74"/>
        <v>174</v>
      </c>
      <c r="AM63" s="474">
        <f t="shared" si="75"/>
        <v>126.77820672190629</v>
      </c>
      <c r="AO63">
        <f t="shared" si="47"/>
        <v>174</v>
      </c>
      <c r="AP63">
        <f t="shared" si="24"/>
        <v>126.77820672190629</v>
      </c>
      <c r="AR63" s="6">
        <f t="shared" si="48"/>
        <v>7.8877910159554867</v>
      </c>
      <c r="AS63" s="6">
        <f t="shared" si="25"/>
        <v>4.4142683667273825</v>
      </c>
      <c r="AT63" s="6">
        <f t="shared" si="49"/>
        <v>3.4735226492281042</v>
      </c>
      <c r="AU63" s="181">
        <f t="shared" si="50"/>
        <v>0.55963302752293576</v>
      </c>
      <c r="AW63" s="6">
        <f t="shared" si="76"/>
        <v>5.1205513054037644</v>
      </c>
      <c r="AX63" s="6">
        <f t="shared" si="77"/>
        <v>9.6010336976320563</v>
      </c>
      <c r="AY63" s="6">
        <f t="shared" si="28"/>
        <v>1.399057733716875</v>
      </c>
      <c r="AZ63" s="6"/>
      <c r="BA63" s="181">
        <f t="shared" si="51"/>
        <v>0.57196707370336963</v>
      </c>
      <c r="BB63" s="181">
        <f t="shared" si="78"/>
        <v>0.50737227260060735</v>
      </c>
      <c r="BC63" s="181">
        <f t="shared" si="79"/>
        <v>0.50019731116989163</v>
      </c>
      <c r="BD63" s="181"/>
      <c r="BE63" s="548">
        <f t="shared" si="31"/>
        <v>0.11450121669027855</v>
      </c>
      <c r="BF63" s="548">
        <f t="shared" si="32"/>
        <v>4.5749999999999999E-2</v>
      </c>
      <c r="BG63" s="548">
        <f t="shared" si="33"/>
        <v>1.5847275840238284E-3</v>
      </c>
      <c r="BH63" s="548">
        <f t="shared" si="34"/>
        <v>5.4130926724137926E-3</v>
      </c>
      <c r="BI63">
        <f t="shared" si="35"/>
        <v>3.48E-3</v>
      </c>
      <c r="BJ63" s="474">
        <f t="shared" si="52"/>
        <v>170.72903694671618</v>
      </c>
      <c r="BK63" s="181">
        <f t="shared" si="80"/>
        <v>6.0899999999999989E-2</v>
      </c>
      <c r="BL63" s="181">
        <f t="shared" si="81"/>
        <v>6.0899999999999989E-2</v>
      </c>
      <c r="BM63" s="548"/>
      <c r="BO63" s="474">
        <f t="shared" si="53"/>
        <v>121.79999999999998</v>
      </c>
      <c r="BP63" s="548">
        <f t="shared" si="38"/>
        <v>0</v>
      </c>
      <c r="BQ63" s="548">
        <f t="shared" si="54"/>
        <v>0</v>
      </c>
      <c r="BR63" s="548">
        <f t="shared" si="82"/>
        <v>2.2517761509143044E-2</v>
      </c>
      <c r="BS63" s="548">
        <f t="shared" si="40"/>
        <v>1.8261291279606049E-2</v>
      </c>
      <c r="BT63" s="658">
        <f t="shared" si="83"/>
        <v>0.23344999999999996</v>
      </c>
      <c r="BU63" s="474">
        <f t="shared" si="55"/>
        <v>274.22905278874902</v>
      </c>
      <c r="BV63" s="181">
        <f t="shared" si="56"/>
        <v>0.56675808973546526</v>
      </c>
      <c r="BW63" s="6">
        <f t="shared" si="57"/>
        <v>4.0019999999999998</v>
      </c>
      <c r="BX63" s="181">
        <f t="shared" si="58"/>
        <v>0.87594920137951948</v>
      </c>
      <c r="BY63" s="6">
        <f t="shared" si="59"/>
        <v>87.594920137951945</v>
      </c>
      <c r="BZ63">
        <f t="shared" si="88"/>
        <v>57.999999999999993</v>
      </c>
      <c r="CB63" s="583">
        <f t="shared" si="84"/>
        <v>-50</v>
      </c>
      <c r="CC63">
        <f t="shared" si="85"/>
        <v>-50</v>
      </c>
    </row>
    <row r="64" spans="5:81" x14ac:dyDescent="0.2">
      <c r="E64" s="178">
        <v>59</v>
      </c>
      <c r="F64" s="225">
        <f t="shared" si="89"/>
        <v>0.17699999999999999</v>
      </c>
      <c r="G64" s="225">
        <f t="shared" si="86"/>
        <v>0.17699999999999999</v>
      </c>
      <c r="H64" s="225">
        <f t="shared" si="63"/>
        <v>2.6549999999999998</v>
      </c>
      <c r="I64" s="225">
        <f t="shared" si="90"/>
        <v>1.4159999999999999</v>
      </c>
      <c r="J64" s="561">
        <f t="shared" si="1"/>
        <v>12</v>
      </c>
      <c r="K64" s="456">
        <f t="shared" si="2"/>
        <v>15.25</v>
      </c>
      <c r="L64" s="456">
        <f t="shared" si="3"/>
        <v>27.25</v>
      </c>
      <c r="M64" s="456"/>
      <c r="N64" s="225">
        <f t="shared" si="4"/>
        <v>0.55963302752293576</v>
      </c>
      <c r="O64" s="180">
        <f t="shared" si="87"/>
        <v>2.8577782209812521</v>
      </c>
      <c r="P64" s="180">
        <f t="shared" si="64"/>
        <v>2.3370275229357795</v>
      </c>
      <c r="Q64" s="225">
        <f t="shared" si="6"/>
        <v>0.19051854806541682</v>
      </c>
      <c r="R64" s="225">
        <f t="shared" si="65"/>
        <v>0.35722227762265651</v>
      </c>
      <c r="S64" s="456">
        <f t="shared" si="66"/>
        <v>15</v>
      </c>
      <c r="T64" s="225">
        <f t="shared" si="67"/>
        <v>1.3471129326047357</v>
      </c>
      <c r="U64" s="225">
        <f t="shared" si="10"/>
        <v>4.4903764420157861</v>
      </c>
      <c r="V64" s="225">
        <f t="shared" si="11"/>
        <v>3.5334109707665204</v>
      </c>
      <c r="W64" s="205">
        <f t="shared" si="12"/>
        <v>350</v>
      </c>
      <c r="X64" s="456">
        <f t="shared" si="46"/>
        <v>124.62942355712821</v>
      </c>
      <c r="Z64" s="225">
        <f t="shared" si="13"/>
        <v>0.47968545216251629</v>
      </c>
      <c r="AA64" s="181">
        <f t="shared" si="14"/>
        <v>1.258191349934469</v>
      </c>
      <c r="AB64" s="181">
        <f t="shared" si="68"/>
        <v>0.10561881515504945</v>
      </c>
      <c r="AC64" s="181"/>
      <c r="AD64" s="181">
        <f t="shared" si="16"/>
        <v>0.76065573770491812</v>
      </c>
      <c r="AE64" s="565">
        <f t="shared" si="69"/>
        <v>1604.7859690844232</v>
      </c>
      <c r="AF64" s="548">
        <f t="shared" si="70"/>
        <v>3.8603278688524589E-2</v>
      </c>
      <c r="AH64" s="181">
        <f t="shared" si="71"/>
        <v>0.76260830612538466</v>
      </c>
      <c r="AI64" s="181">
        <f t="shared" si="72"/>
        <v>1.3471129326047357</v>
      </c>
      <c r="AJ64" s="181">
        <f t="shared" si="73"/>
        <v>1.9830466167442486</v>
      </c>
      <c r="AL64" s="565">
        <f t="shared" si="74"/>
        <v>177</v>
      </c>
      <c r="AM64" s="474">
        <f t="shared" si="75"/>
        <v>124.62942355712821</v>
      </c>
      <c r="AO64">
        <f t="shared" si="47"/>
        <v>177</v>
      </c>
      <c r="AP64">
        <f t="shared" si="24"/>
        <v>124.62942355712821</v>
      </c>
      <c r="AR64" s="6">
        <f t="shared" si="48"/>
        <v>8.0237874127823083</v>
      </c>
      <c r="AS64" s="6">
        <f t="shared" si="25"/>
        <v>4.4903764420157861</v>
      </c>
      <c r="AT64" s="6">
        <f t="shared" si="49"/>
        <v>3.5334109707665222</v>
      </c>
      <c r="AU64" s="181">
        <f t="shared" si="50"/>
        <v>0.55963302752293564</v>
      </c>
      <c r="AW64" s="6">
        <f t="shared" si="76"/>
        <v>5.2986442015786279</v>
      </c>
      <c r="AX64" s="6">
        <f t="shared" si="77"/>
        <v>9.9349578779599259</v>
      </c>
      <c r="AY64" s="6">
        <f t="shared" si="28"/>
        <v>1.4477169949668387</v>
      </c>
      <c r="AZ64" s="6"/>
      <c r="BA64" s="181">
        <f t="shared" si="51"/>
        <v>0.58182857497411744</v>
      </c>
      <c r="BB64" s="181">
        <f t="shared" si="78"/>
        <v>0.51612007040406616</v>
      </c>
      <c r="BC64" s="181">
        <f t="shared" si="79"/>
        <v>0.50882140274178644</v>
      </c>
      <c r="BD64" s="181"/>
      <c r="BE64" s="548">
        <f t="shared" si="31"/>
        <v>0.11848357172974426</v>
      </c>
      <c r="BF64" s="548">
        <f t="shared" si="32"/>
        <v>4.5749999999999992E-2</v>
      </c>
      <c r="BG64" s="548">
        <f t="shared" si="33"/>
        <v>1.5578677944641025E-3</v>
      </c>
      <c r="BH64" s="548">
        <f t="shared" si="34"/>
        <v>5.3213453389830507E-3</v>
      </c>
      <c r="BI64">
        <f t="shared" si="35"/>
        <v>3.48E-3</v>
      </c>
      <c r="BJ64" s="474">
        <f t="shared" si="52"/>
        <v>174.59278486319141</v>
      </c>
      <c r="BK64" s="181">
        <f t="shared" si="80"/>
        <v>6.1949999999999991E-2</v>
      </c>
      <c r="BL64" s="181">
        <f t="shared" si="81"/>
        <v>6.1949999999999991E-2</v>
      </c>
      <c r="BM64" s="548"/>
      <c r="BO64" s="474">
        <f t="shared" si="53"/>
        <v>123.89999999999998</v>
      </c>
      <c r="BP64" s="548">
        <f t="shared" si="38"/>
        <v>0</v>
      </c>
      <c r="BQ64" s="548">
        <f t="shared" si="54"/>
        <v>0</v>
      </c>
      <c r="BR64" s="548">
        <f t="shared" si="82"/>
        <v>2.3300929789930733E-2</v>
      </c>
      <c r="BS64" s="548">
        <f t="shared" si="40"/>
        <v>1.8261291279606028E-2</v>
      </c>
      <c r="BT64" s="658">
        <f t="shared" si="83"/>
        <v>0.23747499999999999</v>
      </c>
      <c r="BU64" s="474">
        <f t="shared" si="55"/>
        <v>279.03722106953677</v>
      </c>
      <c r="BV64" s="181">
        <f t="shared" si="56"/>
        <v>0.57753000593272819</v>
      </c>
      <c r="BW64" s="6">
        <f t="shared" si="57"/>
        <v>4.0709999999999997</v>
      </c>
      <c r="BX64" s="181">
        <f t="shared" si="58"/>
        <v>0.87576072324032528</v>
      </c>
      <c r="BY64" s="6">
        <f t="shared" si="59"/>
        <v>87.576072324032523</v>
      </c>
      <c r="BZ64">
        <f t="shared" si="88"/>
        <v>59</v>
      </c>
      <c r="CB64" s="583">
        <f t="shared" si="84"/>
        <v>-50</v>
      </c>
      <c r="CC64">
        <f t="shared" si="85"/>
        <v>-50</v>
      </c>
    </row>
    <row r="65" spans="5:81" x14ac:dyDescent="0.2">
      <c r="E65" s="178">
        <v>60</v>
      </c>
      <c r="F65" s="225">
        <f t="shared" si="89"/>
        <v>0.18</v>
      </c>
      <c r="G65" s="225">
        <f t="shared" si="86"/>
        <v>0.18</v>
      </c>
      <c r="H65" s="225">
        <f t="shared" si="63"/>
        <v>2.6999999999999997</v>
      </c>
      <c r="I65" s="225">
        <f t="shared" si="90"/>
        <v>1.44</v>
      </c>
      <c r="J65" s="561">
        <f t="shared" si="1"/>
        <v>12</v>
      </c>
      <c r="K65" s="456">
        <f t="shared" si="2"/>
        <v>15.25</v>
      </c>
      <c r="L65" s="456">
        <f t="shared" si="3"/>
        <v>27.25</v>
      </c>
      <c r="M65" s="456"/>
      <c r="N65" s="225">
        <f t="shared" si="4"/>
        <v>0.55963302752293576</v>
      </c>
      <c r="O65" s="180">
        <f t="shared" si="87"/>
        <v>2.8577782209812521</v>
      </c>
      <c r="P65" s="180">
        <f t="shared" si="64"/>
        <v>2.3370275229357795</v>
      </c>
      <c r="Q65" s="225">
        <f t="shared" si="6"/>
        <v>0.19051854806541682</v>
      </c>
      <c r="R65" s="225">
        <f t="shared" si="65"/>
        <v>0.35722227762265651</v>
      </c>
      <c r="S65" s="456">
        <f t="shared" si="66"/>
        <v>15</v>
      </c>
      <c r="T65" s="225">
        <f t="shared" si="67"/>
        <v>1.3699453551912566</v>
      </c>
      <c r="U65" s="225">
        <f t="shared" si="10"/>
        <v>4.5664845173041888</v>
      </c>
      <c r="V65" s="225">
        <f t="shared" si="11"/>
        <v>3.5932992923049358</v>
      </c>
      <c r="W65" s="205">
        <f t="shared" si="12"/>
        <v>350</v>
      </c>
      <c r="X65" s="456">
        <f t="shared" si="46"/>
        <v>122.55226649784277</v>
      </c>
      <c r="Z65" s="225">
        <f t="shared" si="13"/>
        <v>0.47968545216251629</v>
      </c>
      <c r="AA65" s="181">
        <f t="shared" si="14"/>
        <v>1.258191349934469</v>
      </c>
      <c r="AB65" s="181">
        <f t="shared" si="68"/>
        <v>0.10561881515504945</v>
      </c>
      <c r="AC65" s="181"/>
      <c r="AD65" s="181">
        <f t="shared" si="16"/>
        <v>0.76065573770491812</v>
      </c>
      <c r="AE65" s="565">
        <f t="shared" si="69"/>
        <v>1631.985731272295</v>
      </c>
      <c r="AF65" s="548">
        <f t="shared" si="70"/>
        <v>3.8603278688524589E-2</v>
      </c>
      <c r="AH65" s="181">
        <f t="shared" si="71"/>
        <v>0.7690439333539868</v>
      </c>
      <c r="AI65" s="181">
        <f t="shared" si="72"/>
        <v>1.3699453551912566</v>
      </c>
      <c r="AJ65" s="181">
        <f t="shared" si="73"/>
        <v>1.9999595223638937</v>
      </c>
      <c r="AL65" s="565">
        <f t="shared" si="74"/>
        <v>180</v>
      </c>
      <c r="AM65" s="474">
        <f t="shared" si="75"/>
        <v>122.55226649784277</v>
      </c>
      <c r="AO65">
        <f t="shared" si="47"/>
        <v>180</v>
      </c>
      <c r="AP65">
        <f t="shared" si="24"/>
        <v>122.55226649784277</v>
      </c>
      <c r="AR65" s="6">
        <f t="shared" si="48"/>
        <v>8.1597838096091238</v>
      </c>
      <c r="AS65" s="6">
        <f t="shared" si="25"/>
        <v>4.5664845173041888</v>
      </c>
      <c r="AT65" s="6">
        <f t="shared" si="49"/>
        <v>3.5932992923049349</v>
      </c>
      <c r="AU65" s="181">
        <f t="shared" si="50"/>
        <v>0.55963302752293587</v>
      </c>
      <c r="AW65" s="6">
        <f t="shared" si="76"/>
        <v>5.4797814207650264</v>
      </c>
      <c r="AX65" s="6">
        <f t="shared" si="77"/>
        <v>10.274590163934425</v>
      </c>
      <c r="AY65" s="6">
        <f t="shared" si="28"/>
        <v>1.4972080384603892</v>
      </c>
      <c r="AZ65" s="6"/>
      <c r="BA65" s="181">
        <f t="shared" si="51"/>
        <v>0.59169007624486525</v>
      </c>
      <c r="BB65" s="181">
        <f t="shared" si="78"/>
        <v>0.52486786820752485</v>
      </c>
      <c r="BC65" s="181">
        <f t="shared" si="79"/>
        <v>0.51744549431368092</v>
      </c>
      <c r="BD65" s="181"/>
      <c r="BE65" s="548">
        <f t="shared" si="31"/>
        <v>0.12253400121432904</v>
      </c>
      <c r="BF65" s="548">
        <f t="shared" si="32"/>
        <v>4.5750000000000013E-2</v>
      </c>
      <c r="BG65" s="548">
        <f t="shared" si="33"/>
        <v>1.5319033312230345E-3</v>
      </c>
      <c r="BH65" s="548">
        <f t="shared" si="34"/>
        <v>5.2326562500000012E-3</v>
      </c>
      <c r="BI65">
        <f t="shared" si="35"/>
        <v>3.48E-3</v>
      </c>
      <c r="BJ65" s="474">
        <f t="shared" si="52"/>
        <v>178.5285607955521</v>
      </c>
      <c r="BK65" s="181">
        <f t="shared" si="80"/>
        <v>6.3E-2</v>
      </c>
      <c r="BL65" s="181">
        <f t="shared" si="81"/>
        <v>6.3E-2</v>
      </c>
      <c r="BM65" s="548"/>
      <c r="BO65" s="474">
        <f t="shared" si="53"/>
        <v>126</v>
      </c>
      <c r="BP65" s="548">
        <f t="shared" si="38"/>
        <v>0</v>
      </c>
      <c r="BQ65" s="548">
        <f t="shared" si="54"/>
        <v>0</v>
      </c>
      <c r="BR65" s="548">
        <f t="shared" si="82"/>
        <v>2.4097485562697665E-2</v>
      </c>
      <c r="BS65" s="548">
        <f t="shared" si="40"/>
        <v>1.8261291279606066E-2</v>
      </c>
      <c r="BT65" s="658">
        <f t="shared" si="83"/>
        <v>0.24150000000000002</v>
      </c>
      <c r="BU65" s="474">
        <f t="shared" si="55"/>
        <v>283.85877684230377</v>
      </c>
      <c r="BV65" s="181">
        <f t="shared" si="56"/>
        <v>0.58838733763785589</v>
      </c>
      <c r="BW65" s="6">
        <f t="shared" si="57"/>
        <v>4.1399999999999997</v>
      </c>
      <c r="BX65" s="181">
        <f t="shared" si="58"/>
        <v>0.87556278798179121</v>
      </c>
      <c r="BY65" s="6">
        <f t="shared" si="59"/>
        <v>87.556278798179122</v>
      </c>
      <c r="BZ65">
        <f t="shared" si="88"/>
        <v>60</v>
      </c>
      <c r="CB65" s="583">
        <f t="shared" si="84"/>
        <v>-50</v>
      </c>
      <c r="CC65">
        <f t="shared" si="85"/>
        <v>-50</v>
      </c>
    </row>
    <row r="66" spans="5:81" x14ac:dyDescent="0.2">
      <c r="E66" s="178">
        <v>61</v>
      </c>
      <c r="F66" s="225">
        <f t="shared" si="89"/>
        <v>0.183</v>
      </c>
      <c r="G66" s="225">
        <f t="shared" si="86"/>
        <v>0.183</v>
      </c>
      <c r="H66" s="225">
        <f t="shared" si="63"/>
        <v>2.7450000000000001</v>
      </c>
      <c r="I66" s="225">
        <f t="shared" si="90"/>
        <v>1.464</v>
      </c>
      <c r="J66" s="561">
        <f t="shared" si="1"/>
        <v>12</v>
      </c>
      <c r="K66" s="456">
        <f t="shared" si="2"/>
        <v>15.25</v>
      </c>
      <c r="L66" s="456">
        <f t="shared" si="3"/>
        <v>27.25</v>
      </c>
      <c r="M66" s="456"/>
      <c r="N66" s="225">
        <f t="shared" si="4"/>
        <v>0.55963302752293576</v>
      </c>
      <c r="O66" s="180">
        <f t="shared" si="87"/>
        <v>2.8577782209812521</v>
      </c>
      <c r="P66" s="180">
        <f t="shared" si="64"/>
        <v>2.3370275229357795</v>
      </c>
      <c r="Q66" s="225">
        <f t="shared" si="6"/>
        <v>0.19051854806541682</v>
      </c>
      <c r="R66" s="225">
        <f t="shared" si="65"/>
        <v>0.35722227762265651</v>
      </c>
      <c r="S66" s="456">
        <f t="shared" si="66"/>
        <v>15</v>
      </c>
      <c r="T66" s="225">
        <f t="shared" si="67"/>
        <v>1.3927777777777774</v>
      </c>
      <c r="U66" s="225">
        <f t="shared" si="10"/>
        <v>4.6425925925925924</v>
      </c>
      <c r="V66" s="225">
        <f t="shared" si="11"/>
        <v>3.6531876138433512</v>
      </c>
      <c r="W66" s="205">
        <f t="shared" si="12"/>
        <v>350</v>
      </c>
      <c r="X66" s="456">
        <f t="shared" si="46"/>
        <v>120.5432129486978</v>
      </c>
      <c r="Z66" s="225">
        <f t="shared" si="13"/>
        <v>0.47968545216251629</v>
      </c>
      <c r="AA66" s="181">
        <f t="shared" si="14"/>
        <v>1.258191349934469</v>
      </c>
      <c r="AB66" s="181">
        <f t="shared" si="68"/>
        <v>0.10561881515504945</v>
      </c>
      <c r="AC66" s="181"/>
      <c r="AD66" s="181">
        <f t="shared" si="16"/>
        <v>0.76065573770491812</v>
      </c>
      <c r="AE66" s="565">
        <f t="shared" si="69"/>
        <v>1659.1854934601665</v>
      </c>
      <c r="AF66" s="548">
        <f t="shared" si="70"/>
        <v>3.8603278688524589E-2</v>
      </c>
      <c r="AH66" s="181">
        <f t="shared" si="71"/>
        <v>0.775426150117285</v>
      </c>
      <c r="AI66" s="181">
        <f t="shared" si="72"/>
        <v>1.3927777777777774</v>
      </c>
      <c r="AJ66" s="181">
        <f t="shared" si="73"/>
        <v>2.0168724279835386</v>
      </c>
      <c r="AL66" s="565">
        <f t="shared" si="74"/>
        <v>183</v>
      </c>
      <c r="AM66" s="474">
        <f t="shared" si="75"/>
        <v>120.5432129486978</v>
      </c>
      <c r="AO66">
        <f t="shared" si="47"/>
        <v>183</v>
      </c>
      <c r="AP66">
        <f t="shared" si="24"/>
        <v>120.5432129486978</v>
      </c>
      <c r="AR66" s="6">
        <f t="shared" si="48"/>
        <v>8.2957802064359427</v>
      </c>
      <c r="AS66" s="6">
        <f t="shared" si="25"/>
        <v>4.6425925925925924</v>
      </c>
      <c r="AT66" s="6">
        <f t="shared" si="49"/>
        <v>3.6531876138433503</v>
      </c>
      <c r="AU66" s="181">
        <f t="shared" si="50"/>
        <v>0.55963302752293587</v>
      </c>
      <c r="AW66" s="6">
        <f t="shared" si="76"/>
        <v>5.6639629629629624</v>
      </c>
      <c r="AX66" s="6">
        <f t="shared" si="77"/>
        <v>10.619930555555555</v>
      </c>
      <c r="AY66" s="6">
        <f t="shared" si="28"/>
        <v>1.5475308641975301</v>
      </c>
      <c r="AZ66" s="6"/>
      <c r="BA66" s="181">
        <f t="shared" si="51"/>
        <v>0.60155157751561295</v>
      </c>
      <c r="BB66" s="181">
        <f t="shared" si="78"/>
        <v>0.53361566601098354</v>
      </c>
      <c r="BC66" s="181">
        <f t="shared" si="79"/>
        <v>0.52606958588557573</v>
      </c>
      <c r="BD66" s="181"/>
      <c r="BE66" s="548">
        <f t="shared" si="31"/>
        <v>0.12665250514403287</v>
      </c>
      <c r="BF66" s="548">
        <f t="shared" si="32"/>
        <v>4.5749999999999999E-2</v>
      </c>
      <c r="BG66" s="548">
        <f t="shared" si="33"/>
        <v>1.5067901618587224E-3</v>
      </c>
      <c r="BH66" s="548">
        <f t="shared" si="34"/>
        <v>5.1468750000000004E-3</v>
      </c>
      <c r="BI66">
        <f t="shared" si="35"/>
        <v>3.48E-3</v>
      </c>
      <c r="BJ66" s="474">
        <f t="shared" si="52"/>
        <v>182.5361703058916</v>
      </c>
      <c r="BK66" s="181">
        <f t="shared" si="80"/>
        <v>6.4049999999999996E-2</v>
      </c>
      <c r="BL66" s="181">
        <f t="shared" si="81"/>
        <v>6.4049999999999996E-2</v>
      </c>
      <c r="BM66" s="548"/>
      <c r="BO66" s="474">
        <f t="shared" si="53"/>
        <v>128.1</v>
      </c>
      <c r="BP66" s="548">
        <f t="shared" si="38"/>
        <v>0</v>
      </c>
      <c r="BQ66" s="548">
        <f t="shared" si="54"/>
        <v>0</v>
      </c>
      <c r="BR66" s="548">
        <f t="shared" si="82"/>
        <v>2.49074288274439E-2</v>
      </c>
      <c r="BS66" s="548">
        <f t="shared" si="40"/>
        <v>1.8261291279606028E-2</v>
      </c>
      <c r="BT66" s="658">
        <f t="shared" si="83"/>
        <v>0.24552499999999997</v>
      </c>
      <c r="BU66" s="474">
        <f t="shared" si="55"/>
        <v>288.6937201070499</v>
      </c>
      <c r="BV66" s="181">
        <f t="shared" si="56"/>
        <v>0.59932989041294149</v>
      </c>
      <c r="BW66" s="6">
        <f t="shared" si="57"/>
        <v>4.2089999999999996</v>
      </c>
      <c r="BX66" s="181">
        <f t="shared" si="58"/>
        <v>0.87535591274469082</v>
      </c>
      <c r="BY66" s="6">
        <f t="shared" si="59"/>
        <v>87.535591274469084</v>
      </c>
      <c r="BZ66">
        <f t="shared" si="88"/>
        <v>61</v>
      </c>
      <c r="CB66" s="583">
        <f t="shared" si="84"/>
        <v>-50</v>
      </c>
      <c r="CC66">
        <f t="shared" si="85"/>
        <v>-50</v>
      </c>
    </row>
    <row r="67" spans="5:81" x14ac:dyDescent="0.2">
      <c r="E67" s="178">
        <v>62</v>
      </c>
      <c r="F67" s="225">
        <f t="shared" si="89"/>
        <v>0.186</v>
      </c>
      <c r="G67" s="225">
        <f t="shared" si="86"/>
        <v>0.186</v>
      </c>
      <c r="H67" s="225">
        <f t="shared" si="63"/>
        <v>2.79</v>
      </c>
      <c r="I67" s="225">
        <f t="shared" si="90"/>
        <v>1.488</v>
      </c>
      <c r="J67" s="561">
        <f t="shared" si="1"/>
        <v>12</v>
      </c>
      <c r="K67" s="456">
        <f t="shared" si="2"/>
        <v>15.25</v>
      </c>
      <c r="L67" s="456">
        <f t="shared" si="3"/>
        <v>27.25</v>
      </c>
      <c r="M67" s="456"/>
      <c r="N67" s="225">
        <f t="shared" si="4"/>
        <v>0.55963302752293576</v>
      </c>
      <c r="O67" s="180">
        <f t="shared" si="87"/>
        <v>2.8577782209812521</v>
      </c>
      <c r="P67" s="180">
        <f t="shared" si="64"/>
        <v>2.3370275229357795</v>
      </c>
      <c r="Q67" s="225">
        <f t="shared" si="6"/>
        <v>0.19051854806541682</v>
      </c>
      <c r="R67" s="225">
        <f t="shared" si="65"/>
        <v>0.35722227762265651</v>
      </c>
      <c r="S67" s="456">
        <f t="shared" si="66"/>
        <v>15</v>
      </c>
      <c r="T67" s="225">
        <f t="shared" si="67"/>
        <v>1.4156102003642987</v>
      </c>
      <c r="U67" s="225">
        <f t="shared" si="10"/>
        <v>4.7187006678809968</v>
      </c>
      <c r="V67" s="225">
        <f t="shared" si="11"/>
        <v>3.7130759353817675</v>
      </c>
      <c r="W67" s="205">
        <f t="shared" si="12"/>
        <v>350</v>
      </c>
      <c r="X67" s="456">
        <f t="shared" si="46"/>
        <v>118.59896757855745</v>
      </c>
      <c r="Z67" s="225">
        <f t="shared" si="13"/>
        <v>0.47968545216251629</v>
      </c>
      <c r="AA67" s="181">
        <f t="shared" si="14"/>
        <v>1.258191349934469</v>
      </c>
      <c r="AB67" s="181">
        <f t="shared" si="68"/>
        <v>0.10561881515504945</v>
      </c>
      <c r="AC67" s="181"/>
      <c r="AD67" s="181">
        <f t="shared" si="16"/>
        <v>0.76065573770491812</v>
      </c>
      <c r="AE67" s="565">
        <f t="shared" si="69"/>
        <v>1686.3852556480381</v>
      </c>
      <c r="AF67" s="548">
        <f t="shared" si="70"/>
        <v>3.8603278688524589E-2</v>
      </c>
      <c r="AH67" s="181">
        <f t="shared" si="71"/>
        <v>0.78175626453700842</v>
      </c>
      <c r="AI67" s="181">
        <f t="shared" si="72"/>
        <v>1.4156102003642987</v>
      </c>
      <c r="AJ67" s="181">
        <f t="shared" si="73"/>
        <v>2.0337853336031841</v>
      </c>
      <c r="AL67" s="565">
        <f t="shared" si="74"/>
        <v>186</v>
      </c>
      <c r="AM67" s="474">
        <f t="shared" si="75"/>
        <v>118.59896757855745</v>
      </c>
      <c r="AO67">
        <f t="shared" si="47"/>
        <v>186</v>
      </c>
      <c r="AP67">
        <f t="shared" si="24"/>
        <v>118.59896757855745</v>
      </c>
      <c r="AR67" s="6">
        <f t="shared" si="48"/>
        <v>8.431776603262767</v>
      </c>
      <c r="AS67" s="6">
        <f t="shared" si="25"/>
        <v>4.7187006678809968</v>
      </c>
      <c r="AT67" s="6">
        <f t="shared" si="49"/>
        <v>3.7130759353817702</v>
      </c>
      <c r="AU67" s="181">
        <f t="shared" si="50"/>
        <v>0.55963302752293564</v>
      </c>
      <c r="AW67" s="6">
        <f t="shared" si="76"/>
        <v>5.851188828172436</v>
      </c>
      <c r="AX67" s="6">
        <f t="shared" si="77"/>
        <v>10.970979052823317</v>
      </c>
      <c r="AY67" s="6">
        <f t="shared" si="28"/>
        <v>1.598685472178262</v>
      </c>
      <c r="AZ67" s="6"/>
      <c r="BA67" s="181">
        <f t="shared" si="51"/>
        <v>0.61141307878636075</v>
      </c>
      <c r="BB67" s="181">
        <f t="shared" si="78"/>
        <v>0.54236346381444245</v>
      </c>
      <c r="BC67" s="181">
        <f t="shared" si="79"/>
        <v>0.53469367745747054</v>
      </c>
      <c r="BD67" s="181"/>
      <c r="BE67" s="548">
        <f t="shared" si="31"/>
        <v>0.13083908351885579</v>
      </c>
      <c r="BF67" s="548">
        <f t="shared" si="32"/>
        <v>4.5749999999999985E-2</v>
      </c>
      <c r="BG67" s="548">
        <f t="shared" si="33"/>
        <v>1.4824870947319679E-3</v>
      </c>
      <c r="BH67" s="548">
        <f t="shared" si="34"/>
        <v>5.0638608870967727E-3</v>
      </c>
      <c r="BI67">
        <f t="shared" si="35"/>
        <v>3.48E-3</v>
      </c>
      <c r="BJ67" s="474">
        <f t="shared" si="52"/>
        <v>186.61543150068451</v>
      </c>
      <c r="BK67" s="181">
        <f t="shared" si="80"/>
        <v>6.5099999999999991E-2</v>
      </c>
      <c r="BL67" s="181">
        <f t="shared" si="81"/>
        <v>6.5099999999999991E-2</v>
      </c>
      <c r="BM67" s="548"/>
      <c r="BO67" s="474">
        <f t="shared" si="53"/>
        <v>130.19999999999999</v>
      </c>
      <c r="BP67" s="548">
        <f t="shared" si="38"/>
        <v>0</v>
      </c>
      <c r="BQ67" s="548">
        <f t="shared" si="54"/>
        <v>0</v>
      </c>
      <c r="BR67" s="548">
        <f t="shared" si="82"/>
        <v>2.573075958416942E-2</v>
      </c>
      <c r="BS67" s="548">
        <f t="shared" si="40"/>
        <v>1.8261291279606056E-2</v>
      </c>
      <c r="BT67" s="658">
        <f t="shared" si="83"/>
        <v>0.24954999999999997</v>
      </c>
      <c r="BU67" s="474">
        <f t="shared" si="55"/>
        <v>293.54205086377544</v>
      </c>
      <c r="BV67" s="181">
        <f t="shared" si="56"/>
        <v>0.61035748236445997</v>
      </c>
      <c r="BW67" s="6">
        <f t="shared" si="57"/>
        <v>4.2780000000000005</v>
      </c>
      <c r="BX67" s="181">
        <f t="shared" si="58"/>
        <v>0.87514057951644841</v>
      </c>
      <c r="BY67" s="6">
        <f t="shared" si="59"/>
        <v>87.514057951644844</v>
      </c>
      <c r="BZ67">
        <f t="shared" si="88"/>
        <v>62</v>
      </c>
      <c r="CB67" s="583">
        <f t="shared" si="84"/>
        <v>-50</v>
      </c>
      <c r="CC67">
        <f t="shared" si="85"/>
        <v>-50</v>
      </c>
    </row>
    <row r="68" spans="5:81" x14ac:dyDescent="0.2">
      <c r="E68" s="178">
        <v>63</v>
      </c>
      <c r="F68" s="225">
        <f t="shared" si="89"/>
        <v>0.189</v>
      </c>
      <c r="G68" s="225">
        <f t="shared" si="86"/>
        <v>0.189</v>
      </c>
      <c r="H68" s="225">
        <f t="shared" si="63"/>
        <v>2.835</v>
      </c>
      <c r="I68" s="225">
        <f t="shared" si="90"/>
        <v>1.512</v>
      </c>
      <c r="J68" s="561">
        <f t="shared" si="1"/>
        <v>12</v>
      </c>
      <c r="K68" s="456">
        <f t="shared" si="2"/>
        <v>15.25</v>
      </c>
      <c r="L68" s="456">
        <f t="shared" si="3"/>
        <v>27.25</v>
      </c>
      <c r="M68" s="456"/>
      <c r="N68" s="225">
        <f t="shared" si="4"/>
        <v>0.55963302752293576</v>
      </c>
      <c r="O68" s="180">
        <f t="shared" si="87"/>
        <v>2.8577782209812521</v>
      </c>
      <c r="P68" s="180">
        <f t="shared" si="64"/>
        <v>2.3370275229357795</v>
      </c>
      <c r="Q68" s="225">
        <f t="shared" si="6"/>
        <v>0.19051854806541682</v>
      </c>
      <c r="R68" s="225">
        <f t="shared" si="65"/>
        <v>0.35722227762265651</v>
      </c>
      <c r="S68" s="456">
        <f t="shared" si="66"/>
        <v>15</v>
      </c>
      <c r="T68" s="225">
        <f t="shared" si="67"/>
        <v>1.4384426229508194</v>
      </c>
      <c r="U68" s="225">
        <f t="shared" si="10"/>
        <v>4.7948087431693986</v>
      </c>
      <c r="V68" s="225">
        <f t="shared" si="11"/>
        <v>3.7729642569201824</v>
      </c>
      <c r="W68" s="205">
        <f t="shared" si="12"/>
        <v>350</v>
      </c>
      <c r="X68" s="456">
        <f t="shared" si="46"/>
        <v>116.71644428365977</v>
      </c>
      <c r="Z68" s="225">
        <f t="shared" si="13"/>
        <v>0.47968545216251629</v>
      </c>
      <c r="AA68" s="181">
        <f t="shared" si="14"/>
        <v>1.258191349934469</v>
      </c>
      <c r="AB68" s="181">
        <f t="shared" si="68"/>
        <v>0.10561881515504945</v>
      </c>
      <c r="AC68" s="181"/>
      <c r="AD68" s="181">
        <f t="shared" si="16"/>
        <v>0.76065573770491812</v>
      </c>
      <c r="AE68" s="565">
        <f t="shared" si="69"/>
        <v>1713.5850178359094</v>
      </c>
      <c r="AF68" s="548">
        <f t="shared" si="70"/>
        <v>3.8603278688524589E-2</v>
      </c>
      <c r="AH68" s="181">
        <f t="shared" si="71"/>
        <v>0.78803553219382172</v>
      </c>
      <c r="AI68" s="181">
        <f t="shared" si="72"/>
        <v>1.4384426229508194</v>
      </c>
      <c r="AJ68" s="181">
        <f t="shared" si="73"/>
        <v>2.0506982392228292</v>
      </c>
      <c r="AL68" s="565">
        <f t="shared" si="74"/>
        <v>189</v>
      </c>
      <c r="AM68" s="474">
        <f t="shared" si="75"/>
        <v>116.71644428365977</v>
      </c>
      <c r="AO68">
        <f t="shared" si="47"/>
        <v>189</v>
      </c>
      <c r="AP68">
        <f t="shared" si="24"/>
        <v>116.71644428365977</v>
      </c>
      <c r="AR68" s="6">
        <f t="shared" si="48"/>
        <v>8.5677730000895806</v>
      </c>
      <c r="AS68" s="6">
        <f t="shared" si="25"/>
        <v>4.7948087431693986</v>
      </c>
      <c r="AT68" s="6">
        <f t="shared" si="49"/>
        <v>3.772964256920182</v>
      </c>
      <c r="AU68" s="181">
        <f t="shared" si="50"/>
        <v>0.55963302752293587</v>
      </c>
      <c r="AW68" s="6">
        <f t="shared" si="76"/>
        <v>6.0414590163934418</v>
      </c>
      <c r="AX68" s="6">
        <f t="shared" si="77"/>
        <v>11.327735655737705</v>
      </c>
      <c r="AY68" s="6">
        <f t="shared" si="28"/>
        <v>1.6506718624025796</v>
      </c>
      <c r="AZ68" s="6"/>
      <c r="BA68" s="181">
        <f t="shared" si="51"/>
        <v>0.62127458005710845</v>
      </c>
      <c r="BB68" s="181">
        <f t="shared" si="78"/>
        <v>0.55111126161790103</v>
      </c>
      <c r="BC68" s="181">
        <f t="shared" si="79"/>
        <v>0.54331776902936502</v>
      </c>
      <c r="BD68" s="181"/>
      <c r="BE68" s="548">
        <f t="shared" si="31"/>
        <v>0.13509373633879776</v>
      </c>
      <c r="BF68" s="548">
        <f t="shared" si="32"/>
        <v>4.5749999999999999E-2</v>
      </c>
      <c r="BG68" s="548">
        <f t="shared" si="33"/>
        <v>1.4589555535457471E-3</v>
      </c>
      <c r="BH68" s="548">
        <f t="shared" si="34"/>
        <v>4.9834821428571437E-3</v>
      </c>
      <c r="BI68">
        <f t="shared" si="35"/>
        <v>3.48E-3</v>
      </c>
      <c r="BJ68" s="474">
        <f t="shared" si="52"/>
        <v>190.76617403520066</v>
      </c>
      <c r="BK68" s="181">
        <f t="shared" si="80"/>
        <v>6.615E-2</v>
      </c>
      <c r="BL68" s="181">
        <f t="shared" si="81"/>
        <v>6.615E-2</v>
      </c>
      <c r="BM68" s="548"/>
      <c r="BO68" s="474">
        <f t="shared" si="53"/>
        <v>132.30000000000001</v>
      </c>
      <c r="BP68" s="548">
        <f t="shared" si="38"/>
        <v>0</v>
      </c>
      <c r="BQ68" s="548">
        <f t="shared" si="54"/>
        <v>0</v>
      </c>
      <c r="BR68" s="548">
        <f t="shared" si="82"/>
        <v>2.6567477832874178E-2</v>
      </c>
      <c r="BS68" s="548">
        <f t="shared" si="40"/>
        <v>1.8261291279606056E-2</v>
      </c>
      <c r="BT68" s="658">
        <f t="shared" si="83"/>
        <v>0.25357499999999999</v>
      </c>
      <c r="BU68" s="474">
        <f t="shared" si="55"/>
        <v>298.40376911248023</v>
      </c>
      <c r="BV68" s="181">
        <f t="shared" si="56"/>
        <v>0.62146994314768089</v>
      </c>
      <c r="BW68" s="6">
        <f t="shared" si="57"/>
        <v>4.3469999999999995</v>
      </c>
      <c r="BX68" s="181">
        <f t="shared" si="58"/>
        <v>0.87491723805136667</v>
      </c>
      <c r="BY68" s="6">
        <f t="shared" si="59"/>
        <v>87.491723805136672</v>
      </c>
      <c r="BZ68">
        <f t="shared" si="88"/>
        <v>63</v>
      </c>
      <c r="CB68" s="583">
        <f t="shared" si="84"/>
        <v>-50</v>
      </c>
      <c r="CC68">
        <f t="shared" si="85"/>
        <v>-50</v>
      </c>
    </row>
    <row r="69" spans="5:81" x14ac:dyDescent="0.2">
      <c r="E69" s="178">
        <v>64</v>
      </c>
      <c r="F69" s="225">
        <f t="shared" si="89"/>
        <v>0.192</v>
      </c>
      <c r="G69" s="225">
        <f t="shared" si="86"/>
        <v>0.192</v>
      </c>
      <c r="H69" s="225">
        <f t="shared" ref="H69:H105" si="91">F69*Vout</f>
        <v>2.88</v>
      </c>
      <c r="I69" s="225">
        <f t="shared" si="90"/>
        <v>1.536</v>
      </c>
      <c r="J69" s="561">
        <f t="shared" ref="J69:J105" si="92">Vin</f>
        <v>12</v>
      </c>
      <c r="K69" s="456">
        <f t="shared" ref="K69:K105" si="93">(S69+Vfwd1)*Nps</f>
        <v>15.134261567610688</v>
      </c>
      <c r="L69" s="456">
        <f t="shared" ref="L69:L105" si="94">(Vout+Vfwd1)*Nps+J69</f>
        <v>27.25</v>
      </c>
      <c r="M69" s="456"/>
      <c r="N69" s="225">
        <f t="shared" ref="N69:N105" si="95">(Vout+Vfwd1)*Nps/((Vout+Vfwd1)*Nps+J69)</f>
        <v>0.55963302752293576</v>
      </c>
      <c r="O69" s="180">
        <f t="shared" si="87"/>
        <v>2.8577782209812521</v>
      </c>
      <c r="P69" s="180">
        <f t="shared" ref="P69:P105" si="96">N69*J69*Isw_max*0.5*Efficiency*(Pout2/Pout_total)</f>
        <v>2.3370275229357795</v>
      </c>
      <c r="Q69" s="225">
        <f t="shared" ref="Q69:Q105" si="97">O69/Vout</f>
        <v>0.19051854806541682</v>
      </c>
      <c r="R69" s="225">
        <f t="shared" ref="R69:R105" si="98">O69/Vout2</f>
        <v>0.35722227762265651</v>
      </c>
      <c r="S69" s="456">
        <f t="shared" ref="S69:S105" si="99">MIN(Vout,O69/F69)</f>
        <v>14.884261567610688</v>
      </c>
      <c r="T69" s="225">
        <f t="shared" ref="T69:T105" si="100">MIN(2*(Vout*F69+Vout2*G69)/(Efficiency*J69*N69), Isw_max)</f>
        <v>1.45</v>
      </c>
      <c r="U69" s="225">
        <f t="shared" ref="U69:U105" si="101">L*T69/J69*1000000</f>
        <v>4.833333333333333</v>
      </c>
      <c r="V69" s="225">
        <f t="shared" ref="V69:V105" si="102">L*T69/K69*1000000</f>
        <v>3.8323640529728675</v>
      </c>
      <c r="W69" s="205">
        <f t="shared" ref="W69:W105" si="103">IF(1/((350000*L)*(1/J69+1/K69))&gt;Isw_min, 350, 0.001/((Isw_min*L)*(1/J69+1/K69)))</f>
        <v>350</v>
      </c>
      <c r="X69" s="456">
        <f t="shared" si="46"/>
        <v>115.39752144821379</v>
      </c>
      <c r="Z69" s="225">
        <f t="shared" ref="Z69:Z105" si="104">1/((W69*1000*L)*(1/J69+1/K69))</f>
        <v>0.47807544599974278</v>
      </c>
      <c r="AA69" s="181">
        <f t="shared" ref="AA69:AA105" si="105">L*Z69/K69*1000000</f>
        <v>1.2635580371437141</v>
      </c>
      <c r="AB69" s="181">
        <f t="shared" ref="AB69:AB100" si="106">0.5*AA69*Z69*Nps*W69/1000*(Pout/Pout_total)</f>
        <v>0.10571331262695711</v>
      </c>
      <c r="AC69" s="181"/>
      <c r="AD69" s="181">
        <f t="shared" ref="AD69:AD105" si="107">L*Isw_min/K69*1000000</f>
        <v>0.76647281059457351</v>
      </c>
      <c r="AE69" s="565">
        <f t="shared" ref="AE69:AE100" si="108">MAX(10, F69/(0.5*AD69/1000000*Isw_min*Nps)/1000*Pout_total/Pout)</f>
        <v>1727.5732586095435</v>
      </c>
      <c r="AF69" s="548">
        <f t="shared" ref="AF69:AF105" si="109">0.5*AD69/1000000*Isw_min*Nps*W69*1000*(Pout/Pout_total)</f>
        <v>3.8898495137674606E-2</v>
      </c>
      <c r="AH69" s="181">
        <f t="shared" ref="AH69:AH105" si="110">SQRT((H69+I69)/(0.5*L*Fsw_DCM))</f>
        <v>0.79426515903515671</v>
      </c>
      <c r="AI69" s="181">
        <f t="shared" ref="AI69:AI100" si="111">MAX(IF(F69&gt;AB69,T69,AH69),Isw_min)</f>
        <v>1.45</v>
      </c>
      <c r="AJ69" s="181">
        <f t="shared" ref="AJ69:AJ100" si="112">IF(F69&gt;AF69, (AI69-Isw_min)/1.08*0.8+1.2, AE69*0.2/350+1)</f>
        <v>2.0592592592592593</v>
      </c>
      <c r="AL69" s="565">
        <f t="shared" ref="AL69:AL105" si="113">F69*1000</f>
        <v>192</v>
      </c>
      <c r="AM69" s="474">
        <f t="shared" ref="AM69:AM105" si="114">IF(F69&gt;AF69, X69, AE69)</f>
        <v>115.39752144821379</v>
      </c>
      <c r="AO69" t="str">
        <f t="shared" si="47"/>
        <v/>
      </c>
      <c r="AP69" t="str">
        <f t="shared" ref="AP69:AP105" si="115">IF(H69&gt;O69, "",AM69)</f>
        <v/>
      </c>
      <c r="AR69" s="6">
        <f t="shared" si="48"/>
        <v>8.665697386306201</v>
      </c>
      <c r="AS69" s="6">
        <f t="shared" ref="AS69:AS105" si="116">L*AI69/J69*1000000</f>
        <v>4.833333333333333</v>
      </c>
      <c r="AT69" s="6">
        <f t="shared" si="49"/>
        <v>3.832364052972868</v>
      </c>
      <c r="AU69" s="181">
        <f t="shared" si="50"/>
        <v>0.55775468699969999</v>
      </c>
      <c r="AW69" s="6">
        <f t="shared" ref="AW69:AW105" si="117">F69*AS69/Vout_ripple*1000</f>
        <v>6.1866666666666656</v>
      </c>
      <c r="AX69" s="6">
        <f t="shared" ref="AX69:AX105" si="118">G69*AS69/Vout_ripple2*1000</f>
        <v>11.6</v>
      </c>
      <c r="AY69" s="6">
        <f t="shared" ref="AY69:AY105" si="119">H69/Efficiency/J69*AT69/Vinripple1</f>
        <v>1.7032729124323855</v>
      </c>
      <c r="AZ69" s="6"/>
      <c r="BA69" s="181">
        <f t="shared" si="51"/>
        <v>0.62521442439557462</v>
      </c>
      <c r="BB69" s="181">
        <f t="shared" ref="BB69:BB105" si="120">AI69*Npri_sec1*SQRT((1-AU69)/3)*(Pout/Pout_total)</f>
        <v>0.55672278277527276</v>
      </c>
      <c r="BC69" s="181">
        <f t="shared" ref="BC69:BC105" si="121">AI69*Npri_sec2*SQRT((1-AU69)/3)*(Pout2/Pout_total)</f>
        <v>0.54884993534208704</v>
      </c>
      <c r="BD69" s="181"/>
      <c r="BE69" s="548">
        <f t="shared" ref="BE69:BE105" si="122">Rdson*BA69^2</f>
        <v>0.1368125767653014</v>
      </c>
      <c r="BF69" s="548">
        <f t="shared" ref="BF69:BF105" si="123">0.5*L69*AI69*AM69*1000*Trise</f>
        <v>4.5596445662225468E-2</v>
      </c>
      <c r="BG69" s="548">
        <f t="shared" ref="BG69:BG105" si="124">Qg*Vdd*AM69*1000</f>
        <v>1.4424690181026722E-3</v>
      </c>
      <c r="BH69" s="548">
        <f t="shared" ref="BH69:BH105" si="125">0.5*(Coss+Csw)*L69^2*AM69*1000</f>
        <v>4.9271676411723822E-3</v>
      </c>
      <c r="BI69">
        <f t="shared" ref="BI69:BI105" si="126">J69*IQ</f>
        <v>3.48E-3</v>
      </c>
      <c r="BJ69" s="474">
        <f t="shared" si="52"/>
        <v>192.25865908680191</v>
      </c>
      <c r="BK69" s="181">
        <f t="shared" ref="BK69:BK105" si="127">Vfwd2*F69</f>
        <v>6.7199999999999996E-2</v>
      </c>
      <c r="BL69" s="181">
        <f t="shared" ref="BL69:BL105" si="128">Vfwd2*G69</f>
        <v>6.7199999999999996E-2</v>
      </c>
      <c r="BM69" s="548"/>
      <c r="BO69" s="474">
        <f t="shared" si="53"/>
        <v>134.4</v>
      </c>
      <c r="BP69" s="548">
        <f t="shared" ref="BP69:BP105" si="129">Rdcr_pri*BA69^2</f>
        <v>0</v>
      </c>
      <c r="BQ69" s="548">
        <f t="shared" ref="BQ69:BQ105" si="130">Rdcr_sec*BB69^2</f>
        <v>0</v>
      </c>
      <c r="BR69" s="548">
        <f t="shared" ref="BR69:BR105" si="131">Rdcr_sec2*BC69^2</f>
        <v>2.7111262637251179E-2</v>
      </c>
      <c r="BS69" s="548">
        <f t="shared" ref="BS69:BS105" si="132">AI69^2.5*AM69^2.5*k_core</f>
        <v>1.8108447251097934E-2</v>
      </c>
      <c r="BT69" s="658">
        <f t="shared" ref="BT69:BT105" si="133">0.5*Lleak*0.000000001*AI69^2*AM69*1000</f>
        <v>0.25475445328711305</v>
      </c>
      <c r="BU69" s="474">
        <f t="shared" si="55"/>
        <v>299.97416317546214</v>
      </c>
      <c r="BV69" s="181">
        <f t="shared" si="56"/>
        <v>0.62663282226226413</v>
      </c>
      <c r="BW69" s="6">
        <f t="shared" si="57"/>
        <v>4.4160000000000004</v>
      </c>
      <c r="BX69" s="181">
        <f t="shared" si="58"/>
        <v>0.87573300608051419</v>
      </c>
      <c r="BY69" s="6">
        <f t="shared" si="59"/>
        <v>87.573300608051426</v>
      </c>
      <c r="BZ69">
        <f t="shared" si="88"/>
        <v>64</v>
      </c>
      <c r="CB69" s="583">
        <f t="shared" ref="CB69:CB105" si="134">IF(ABS(F69-Ioutmax_Vinnom)&lt;Iout/200, AM69, -50)</f>
        <v>-50</v>
      </c>
      <c r="CC69">
        <f t="shared" ref="CC69:CC105" si="135">IF(ABS(F69-Ioutmax_Vinnom)&lt;Iout/200, (O69+P69)*BX69, -50)</f>
        <v>-50</v>
      </c>
    </row>
    <row r="70" spans="5:81" x14ac:dyDescent="0.2">
      <c r="E70" s="178">
        <v>65</v>
      </c>
      <c r="F70" s="225">
        <f t="shared" si="89"/>
        <v>0.19500000000000001</v>
      </c>
      <c r="G70" s="225">
        <f t="shared" ref="G70:G105" si="136">IF(PLOT_TYPE=1, E70/100*Iout2, min_I*EXP(Q70*rr/100))</f>
        <v>0.19500000000000001</v>
      </c>
      <c r="H70" s="225">
        <f t="shared" si="91"/>
        <v>2.9250000000000003</v>
      </c>
      <c r="I70" s="225">
        <f t="shared" si="90"/>
        <v>1.56</v>
      </c>
      <c r="J70" s="561">
        <f t="shared" si="92"/>
        <v>12</v>
      </c>
      <c r="K70" s="456">
        <f t="shared" si="93"/>
        <v>14.905272928108985</v>
      </c>
      <c r="L70" s="456">
        <f t="shared" si="94"/>
        <v>27.25</v>
      </c>
      <c r="M70" s="456"/>
      <c r="N70" s="225">
        <f t="shared" si="95"/>
        <v>0.55963302752293576</v>
      </c>
      <c r="O70" s="180">
        <f t="shared" ref="O70:O101" si="137">N70*J70*Isw_max*0.5*Efficiency*Pout/(Pout+Pout2)</f>
        <v>2.8577782209812521</v>
      </c>
      <c r="P70" s="180">
        <f t="shared" si="96"/>
        <v>2.3370275229357795</v>
      </c>
      <c r="Q70" s="225">
        <f t="shared" si="97"/>
        <v>0.19051854806541682</v>
      </c>
      <c r="R70" s="225">
        <f t="shared" si="98"/>
        <v>0.35722227762265651</v>
      </c>
      <c r="S70" s="456">
        <f t="shared" si="99"/>
        <v>14.655272928108985</v>
      </c>
      <c r="T70" s="225">
        <f t="shared" si="100"/>
        <v>1.45</v>
      </c>
      <c r="U70" s="225">
        <f t="shared" si="101"/>
        <v>4.833333333333333</v>
      </c>
      <c r="V70" s="225">
        <f t="shared" si="102"/>
        <v>3.8912403871935268</v>
      </c>
      <c r="W70" s="205">
        <f t="shared" si="103"/>
        <v>350</v>
      </c>
      <c r="X70" s="456">
        <f t="shared" ref="X70:X105" si="138">MIN(1/(U70+V70)*1000, 350)</f>
        <v>114.61878047373666</v>
      </c>
      <c r="Z70" s="225">
        <f t="shared" si="104"/>
        <v>0.47484923339119456</v>
      </c>
      <c r="AA70" s="181">
        <f t="shared" si="105"/>
        <v>1.2743120791722078</v>
      </c>
      <c r="AB70" s="181">
        <f t="shared" si="106"/>
        <v>0.10589356993181086</v>
      </c>
      <c r="AC70" s="181"/>
      <c r="AD70" s="181">
        <f t="shared" si="107"/>
        <v>0.77824807743870539</v>
      </c>
      <c r="AE70" s="565">
        <f t="shared" si="108"/>
        <v>1728.0191563503283</v>
      </c>
      <c r="AF70" s="548">
        <f t="shared" si="109"/>
        <v>3.94960899300143E-2</v>
      </c>
      <c r="AH70" s="181">
        <f t="shared" si="110"/>
        <v>0.80044630407934647</v>
      </c>
      <c r="AI70" s="181">
        <f t="shared" si="111"/>
        <v>1.45</v>
      </c>
      <c r="AJ70" s="181">
        <f t="shared" si="112"/>
        <v>2.0592592592592593</v>
      </c>
      <c r="AL70" s="565">
        <f t="shared" si="113"/>
        <v>195</v>
      </c>
      <c r="AM70" s="474">
        <f t="shared" si="114"/>
        <v>114.61878047373666</v>
      </c>
      <c r="AO70" t="str">
        <f t="shared" ref="AO70:AO105" si="139">IF(H70&gt;O70, "",AL70)</f>
        <v/>
      </c>
      <c r="AP70" t="str">
        <f t="shared" si="115"/>
        <v/>
      </c>
      <c r="AR70" s="6">
        <f t="shared" ref="AR70:AR133" si="140">1/AM70*1000</f>
        <v>8.724573720526859</v>
      </c>
      <c r="AS70" s="6">
        <f t="shared" si="116"/>
        <v>4.833333333333333</v>
      </c>
      <c r="AT70" s="6">
        <f t="shared" ref="AT70:AT105" si="141">AR70-AS70</f>
        <v>3.8912403871935259</v>
      </c>
      <c r="AU70" s="181">
        <f t="shared" ref="AU70:AU105" si="142">AS70/AR70</f>
        <v>0.55399077228972715</v>
      </c>
      <c r="AW70" s="6">
        <f t="shared" si="117"/>
        <v>6.2833333333333332</v>
      </c>
      <c r="AX70" s="6">
        <f t="shared" si="118"/>
        <v>11.78125</v>
      </c>
      <c r="AY70" s="6">
        <f t="shared" si="119"/>
        <v>1.7564626747748551</v>
      </c>
      <c r="AZ70" s="6"/>
      <c r="BA70" s="181">
        <f t="shared" ref="BA70:BA105" si="143">AI70*SQRT(AU70/3)</f>
        <v>0.62310127554011396</v>
      </c>
      <c r="BB70" s="181">
        <f t="shared" si="120"/>
        <v>0.55908687496096365</v>
      </c>
      <c r="BC70" s="181">
        <f t="shared" si="121"/>
        <v>0.55118059592111168</v>
      </c>
      <c r="BD70" s="181"/>
      <c r="BE70" s="548">
        <f t="shared" si="122"/>
        <v>0.13588931985290095</v>
      </c>
      <c r="BF70" s="548">
        <f t="shared" si="123"/>
        <v>4.5288745634685199E-2</v>
      </c>
      <c r="BG70" s="548">
        <f t="shared" si="124"/>
        <v>1.4327347559217082E-3</v>
      </c>
      <c r="BH70" s="548">
        <f t="shared" si="125"/>
        <v>4.8939174700929223E-3</v>
      </c>
      <c r="BI70">
        <f t="shared" si="126"/>
        <v>3.48E-3</v>
      </c>
      <c r="BJ70" s="474">
        <f t="shared" ref="BJ70:BJ105" si="144">SUM(BE70:BI70)*1000</f>
        <v>190.98471771360079</v>
      </c>
      <c r="BK70" s="181">
        <f t="shared" si="127"/>
        <v>6.8249999999999991E-2</v>
      </c>
      <c r="BL70" s="181">
        <f t="shared" si="128"/>
        <v>6.8249999999999991E-2</v>
      </c>
      <c r="BM70" s="548"/>
      <c r="BO70" s="474">
        <f t="shared" ref="BO70:BO105" si="145">SUM(BK70:BN70)*1000</f>
        <v>136.49999999999997</v>
      </c>
      <c r="BP70" s="548">
        <f t="shared" si="129"/>
        <v>0</v>
      </c>
      <c r="BQ70" s="548">
        <f t="shared" si="130"/>
        <v>0</v>
      </c>
      <c r="BR70" s="548">
        <f t="shared" si="131"/>
        <v>2.7342004438795663E-2</v>
      </c>
      <c r="BS70" s="548">
        <f t="shared" si="132"/>
        <v>1.7804487137011812E-2</v>
      </c>
      <c r="BT70" s="658">
        <f t="shared" si="133"/>
        <v>0.25303528524333296</v>
      </c>
      <c r="BU70" s="474">
        <f t="shared" ref="BU70:BU105" si="146">SUM(BP70:BT70)*1000</f>
        <v>298.18177681914045</v>
      </c>
      <c r="BV70" s="181">
        <f t="shared" ref="BV70:BV105" si="147">SUM(BE70:BI70,BK70:BN70,BP70:BT70)</f>
        <v>0.62566649453274126</v>
      </c>
      <c r="BW70" s="6">
        <f t="shared" ref="BW70:BW105" si="148">MIN(H70+I70,O70+P70)</f>
        <v>4.4850000000000003</v>
      </c>
      <c r="BX70" s="181">
        <f t="shared" ref="BX70:BX105" si="149">BW70/(BW70+BV70)</f>
        <v>0.87757634054148059</v>
      </c>
      <c r="BY70" s="6">
        <f t="shared" ref="BY70:BY105" si="150">BX70*100</f>
        <v>87.757634054148056</v>
      </c>
      <c r="BZ70">
        <f t="shared" ref="BZ70:BZ105" si="151">F70/Iout*100</f>
        <v>65</v>
      </c>
      <c r="CB70" s="583">
        <f t="shared" si="134"/>
        <v>-50</v>
      </c>
      <c r="CC70">
        <f t="shared" si="135"/>
        <v>-50</v>
      </c>
    </row>
    <row r="71" spans="5:81" x14ac:dyDescent="0.2">
      <c r="E71" s="178">
        <v>66</v>
      </c>
      <c r="F71" s="225">
        <f t="shared" si="89"/>
        <v>0.19800000000000001</v>
      </c>
      <c r="G71" s="225">
        <f t="shared" si="136"/>
        <v>0.19800000000000001</v>
      </c>
      <c r="H71" s="225">
        <f t="shared" si="91"/>
        <v>2.97</v>
      </c>
      <c r="I71" s="225">
        <f t="shared" si="90"/>
        <v>1.5840000000000001</v>
      </c>
      <c r="J71" s="561">
        <f t="shared" si="92"/>
        <v>12</v>
      </c>
      <c r="K71" s="456">
        <f t="shared" si="93"/>
        <v>14.683223338289151</v>
      </c>
      <c r="L71" s="456">
        <f t="shared" si="94"/>
        <v>27.25</v>
      </c>
      <c r="M71" s="456"/>
      <c r="N71" s="225">
        <f t="shared" si="95"/>
        <v>0.55963302752293576</v>
      </c>
      <c r="O71" s="180">
        <f t="shared" si="137"/>
        <v>2.8577782209812521</v>
      </c>
      <c r="P71" s="180">
        <f t="shared" si="96"/>
        <v>2.3370275229357795</v>
      </c>
      <c r="Q71" s="225">
        <f t="shared" si="97"/>
        <v>0.19051854806541682</v>
      </c>
      <c r="R71" s="225">
        <f t="shared" si="98"/>
        <v>0.35722227762265651</v>
      </c>
      <c r="S71" s="456">
        <f t="shared" si="99"/>
        <v>14.433223338289151</v>
      </c>
      <c r="T71" s="225">
        <f t="shared" si="100"/>
        <v>1.45</v>
      </c>
      <c r="U71" s="225">
        <f t="shared" si="101"/>
        <v>4.833333333333333</v>
      </c>
      <c r="V71" s="225">
        <f t="shared" si="102"/>
        <v>3.950086344376071</v>
      </c>
      <c r="W71" s="205">
        <f t="shared" si="103"/>
        <v>350</v>
      </c>
      <c r="X71" s="456">
        <f t="shared" si="138"/>
        <v>113.85087320122068</v>
      </c>
      <c r="Z71" s="225">
        <f t="shared" si="104"/>
        <v>0.47166790326219998</v>
      </c>
      <c r="AA71" s="181">
        <f t="shared" si="105"/>
        <v>1.2849165129355242</v>
      </c>
      <c r="AB71" s="181">
        <f t="shared" si="106"/>
        <v>0.10605942856657334</v>
      </c>
      <c r="AC71" s="181"/>
      <c r="AD71" s="181">
        <f t="shared" si="107"/>
        <v>0.79001726887521417</v>
      </c>
      <c r="AE71" s="565">
        <f t="shared" si="108"/>
        <v>1728.4650540911132</v>
      </c>
      <c r="AF71" s="548">
        <f t="shared" si="109"/>
        <v>4.0093376395417116E-2</v>
      </c>
      <c r="AH71" s="181">
        <f t="shared" si="110"/>
        <v>0.80658008193323782</v>
      </c>
      <c r="AI71" s="181">
        <f t="shared" si="111"/>
        <v>1.45</v>
      </c>
      <c r="AJ71" s="181">
        <f t="shared" si="112"/>
        <v>2.0592592592592593</v>
      </c>
      <c r="AL71" s="565">
        <f t="shared" si="113"/>
        <v>198</v>
      </c>
      <c r="AM71" s="474">
        <f t="shared" si="114"/>
        <v>113.85087320122068</v>
      </c>
      <c r="AO71" t="str">
        <f t="shared" si="139"/>
        <v/>
      </c>
      <c r="AP71" t="str">
        <f t="shared" si="115"/>
        <v/>
      </c>
      <c r="AR71" s="6">
        <f t="shared" si="140"/>
        <v>8.7834196777094053</v>
      </c>
      <c r="AS71" s="6">
        <f t="shared" si="116"/>
        <v>4.833333333333333</v>
      </c>
      <c r="AT71" s="6">
        <f t="shared" si="141"/>
        <v>3.9500863443760723</v>
      </c>
      <c r="AU71" s="181">
        <f t="shared" si="142"/>
        <v>0.5502792204725665</v>
      </c>
      <c r="AW71" s="6">
        <f t="shared" si="117"/>
        <v>6.379999999999999</v>
      </c>
      <c r="AX71" s="6">
        <f t="shared" si="118"/>
        <v>11.962499999999999</v>
      </c>
      <c r="AY71" s="6">
        <f t="shared" si="119"/>
        <v>1.8104562411723661</v>
      </c>
      <c r="AZ71" s="6"/>
      <c r="BA71" s="181">
        <f t="shared" si="143"/>
        <v>0.62101048328337982</v>
      </c>
      <c r="BB71" s="181">
        <f t="shared" si="120"/>
        <v>0.56140832999295287</v>
      </c>
      <c r="BC71" s="181">
        <f t="shared" si="121"/>
        <v>0.55346922229608286</v>
      </c>
      <c r="BD71" s="181"/>
      <c r="BE71" s="548">
        <f t="shared" si="122"/>
        <v>0.13497890712174992</v>
      </c>
      <c r="BF71" s="548">
        <f t="shared" si="123"/>
        <v>4.4985326273632317E-2</v>
      </c>
      <c r="BG71" s="548">
        <f t="shared" si="124"/>
        <v>1.4231359150152583E-3</v>
      </c>
      <c r="BH71" s="548">
        <f t="shared" si="125"/>
        <v>4.8611298693101825E-3</v>
      </c>
      <c r="BI71">
        <f t="shared" si="126"/>
        <v>3.48E-3</v>
      </c>
      <c r="BJ71" s="474">
        <f t="shared" si="144"/>
        <v>189.72849917970768</v>
      </c>
      <c r="BK71" s="181">
        <f t="shared" si="127"/>
        <v>6.93E-2</v>
      </c>
      <c r="BL71" s="181">
        <f t="shared" si="128"/>
        <v>6.93E-2</v>
      </c>
      <c r="BM71" s="548"/>
      <c r="BO71" s="474">
        <f t="shared" si="145"/>
        <v>138.6</v>
      </c>
      <c r="BP71" s="548">
        <f t="shared" si="129"/>
        <v>0</v>
      </c>
      <c r="BQ71" s="548">
        <f t="shared" si="130"/>
        <v>0</v>
      </c>
      <c r="BR71" s="548">
        <f t="shared" si="131"/>
        <v>2.7569536202612769E-2</v>
      </c>
      <c r="BS71" s="548">
        <f t="shared" si="132"/>
        <v>1.7507773706995938E-2</v>
      </c>
      <c r="BT71" s="658">
        <f t="shared" si="133"/>
        <v>0.25134003395084487</v>
      </c>
      <c r="BU71" s="474">
        <f t="shared" si="146"/>
        <v>296.41734386045357</v>
      </c>
      <c r="BV71" s="181">
        <f t="shared" si="147"/>
        <v>0.62474584304016134</v>
      </c>
      <c r="BW71" s="6">
        <f t="shared" si="148"/>
        <v>4.5540000000000003</v>
      </c>
      <c r="BX71" s="181">
        <f t="shared" si="149"/>
        <v>0.87936348645497409</v>
      </c>
      <c r="BY71" s="6">
        <f t="shared" si="150"/>
        <v>87.936348645497404</v>
      </c>
      <c r="BZ71">
        <f t="shared" si="151"/>
        <v>66</v>
      </c>
      <c r="CB71" s="583">
        <f t="shared" si="134"/>
        <v>-50</v>
      </c>
      <c r="CC71">
        <f t="shared" si="135"/>
        <v>-50</v>
      </c>
    </row>
    <row r="72" spans="5:81" x14ac:dyDescent="0.2">
      <c r="E72" s="178">
        <v>67</v>
      </c>
      <c r="F72" s="225">
        <f t="shared" ref="F72:F103" si="152">IF(PLOT_TYPE=1, E72/100*Iout_max, min_I*EXP(O72*rr/100))</f>
        <v>0.20100000000000001</v>
      </c>
      <c r="G72" s="225">
        <f t="shared" si="136"/>
        <v>0.20100000000000001</v>
      </c>
      <c r="H72" s="225">
        <f t="shared" si="91"/>
        <v>3.0150000000000001</v>
      </c>
      <c r="I72" s="225">
        <f t="shared" ref="I72:I105" si="153">Vout2*G72</f>
        <v>1.6080000000000001</v>
      </c>
      <c r="J72" s="561">
        <f t="shared" si="92"/>
        <v>12</v>
      </c>
      <c r="K72" s="456">
        <f t="shared" si="93"/>
        <v>14.46780209443409</v>
      </c>
      <c r="L72" s="456">
        <f t="shared" si="94"/>
        <v>27.25</v>
      </c>
      <c r="M72" s="456"/>
      <c r="N72" s="225">
        <f t="shared" si="95"/>
        <v>0.55963302752293576</v>
      </c>
      <c r="O72" s="180">
        <f t="shared" si="137"/>
        <v>2.8577782209812521</v>
      </c>
      <c r="P72" s="180">
        <f t="shared" si="96"/>
        <v>2.3370275229357795</v>
      </c>
      <c r="Q72" s="225">
        <f t="shared" si="97"/>
        <v>0.19051854806541682</v>
      </c>
      <c r="R72" s="225">
        <f t="shared" si="98"/>
        <v>0.35722227762265651</v>
      </c>
      <c r="S72" s="456">
        <f t="shared" si="99"/>
        <v>14.21780209443409</v>
      </c>
      <c r="T72" s="225">
        <f t="shared" si="100"/>
        <v>1.45</v>
      </c>
      <c r="U72" s="225">
        <f t="shared" si="101"/>
        <v>4.833333333333333</v>
      </c>
      <c r="V72" s="225">
        <f t="shared" si="102"/>
        <v>4.0089019480238255</v>
      </c>
      <c r="W72" s="205">
        <f t="shared" si="103"/>
        <v>350</v>
      </c>
      <c r="X72" s="456">
        <f t="shared" si="138"/>
        <v>113.09357511763859</v>
      </c>
      <c r="Z72" s="225">
        <f t="shared" si="104"/>
        <v>0.46853052548735979</v>
      </c>
      <c r="AA72" s="181">
        <f t="shared" si="105"/>
        <v>1.2953744388516575</v>
      </c>
      <c r="AB72" s="181">
        <f t="shared" si="106"/>
        <v>0.10621143164416065</v>
      </c>
      <c r="AC72" s="181"/>
      <c r="AD72" s="181">
        <f t="shared" si="107"/>
        <v>0.80178038960476516</v>
      </c>
      <c r="AE72" s="565">
        <f t="shared" si="108"/>
        <v>1728.9109518318978</v>
      </c>
      <c r="AF72" s="548">
        <f t="shared" si="109"/>
        <v>4.0690354772441824E-2</v>
      </c>
      <c r="AH72" s="181">
        <f t="shared" si="110"/>
        <v>0.81266756513876659</v>
      </c>
      <c r="AI72" s="181">
        <f t="shared" si="111"/>
        <v>1.45</v>
      </c>
      <c r="AJ72" s="181">
        <f t="shared" si="112"/>
        <v>2.0592592592592593</v>
      </c>
      <c r="AL72" s="565">
        <f t="shared" si="113"/>
        <v>201</v>
      </c>
      <c r="AM72" s="474">
        <f t="shared" si="114"/>
        <v>113.09357511763859</v>
      </c>
      <c r="AO72" t="str">
        <f t="shared" si="139"/>
        <v/>
      </c>
      <c r="AP72" t="str">
        <f t="shared" si="115"/>
        <v/>
      </c>
      <c r="AR72" s="6">
        <f t="shared" si="140"/>
        <v>8.8422352813571585</v>
      </c>
      <c r="AS72" s="6">
        <f t="shared" si="116"/>
        <v>4.833333333333333</v>
      </c>
      <c r="AT72" s="6">
        <f t="shared" si="141"/>
        <v>4.0089019480238255</v>
      </c>
      <c r="AU72" s="181">
        <f t="shared" si="142"/>
        <v>0.54661894640191977</v>
      </c>
      <c r="AW72" s="6">
        <f t="shared" si="117"/>
        <v>6.4766666666666675</v>
      </c>
      <c r="AX72" s="6">
        <f t="shared" si="118"/>
        <v>12.143750000000001</v>
      </c>
      <c r="AY72" s="6">
        <f t="shared" si="119"/>
        <v>1.8652529897055297</v>
      </c>
      <c r="AZ72" s="6"/>
      <c r="BA72" s="181">
        <f t="shared" si="143"/>
        <v>0.61894165982749305</v>
      </c>
      <c r="BB72" s="181">
        <f t="shared" si="120"/>
        <v>0.56368834923503719</v>
      </c>
      <c r="BC72" s="181">
        <f t="shared" si="121"/>
        <v>0.55571699884181447</v>
      </c>
      <c r="BD72" s="181"/>
      <c r="BE72" s="548">
        <f t="shared" si="122"/>
        <v>0.13408107239450423</v>
      </c>
      <c r="BF72" s="548">
        <f t="shared" si="123"/>
        <v>4.4686098868356956E-2</v>
      </c>
      <c r="BG72" s="548">
        <f t="shared" si="124"/>
        <v>1.4136696889704824E-3</v>
      </c>
      <c r="BH72" s="548">
        <f t="shared" si="125"/>
        <v>4.8287952527142622E-3</v>
      </c>
      <c r="BI72">
        <f t="shared" si="126"/>
        <v>3.48E-3</v>
      </c>
      <c r="BJ72" s="474">
        <f t="shared" si="144"/>
        <v>188.48963620454592</v>
      </c>
      <c r="BK72" s="181">
        <f t="shared" si="127"/>
        <v>7.0349999999999996E-2</v>
      </c>
      <c r="BL72" s="181">
        <f t="shared" si="128"/>
        <v>7.0349999999999996E-2</v>
      </c>
      <c r="BM72" s="548"/>
      <c r="BO72" s="474">
        <f t="shared" si="145"/>
        <v>140.69999999999999</v>
      </c>
      <c r="BP72" s="548">
        <f t="shared" si="129"/>
        <v>0</v>
      </c>
      <c r="BQ72" s="548">
        <f t="shared" si="130"/>
        <v>0</v>
      </c>
      <c r="BR72" s="548">
        <f t="shared" si="131"/>
        <v>2.7793924452157788E-2</v>
      </c>
      <c r="BS72" s="548">
        <f t="shared" si="132"/>
        <v>1.7218084822015065E-2</v>
      </c>
      <c r="BT72" s="658">
        <f t="shared" si="133"/>
        <v>0.24966820376907695</v>
      </c>
      <c r="BU72" s="474">
        <f t="shared" si="146"/>
        <v>294.68021304324981</v>
      </c>
      <c r="BV72" s="181">
        <f t="shared" si="147"/>
        <v>0.62386984924779565</v>
      </c>
      <c r="BW72" s="6">
        <f t="shared" si="148"/>
        <v>4.6230000000000002</v>
      </c>
      <c r="BX72" s="181">
        <f t="shared" si="149"/>
        <v>0.88109675536601406</v>
      </c>
      <c r="BY72" s="6">
        <f t="shared" si="150"/>
        <v>88.109675536601401</v>
      </c>
      <c r="BZ72">
        <f t="shared" si="151"/>
        <v>67</v>
      </c>
      <c r="CB72" s="583">
        <f t="shared" si="134"/>
        <v>-50</v>
      </c>
      <c r="CC72">
        <f t="shared" si="135"/>
        <v>-50</v>
      </c>
    </row>
    <row r="73" spans="5:81" x14ac:dyDescent="0.2">
      <c r="E73" s="178">
        <v>68</v>
      </c>
      <c r="F73" s="225">
        <f t="shared" si="152"/>
        <v>0.20400000000000001</v>
      </c>
      <c r="G73" s="225">
        <f t="shared" si="136"/>
        <v>0.20400000000000001</v>
      </c>
      <c r="H73" s="225">
        <f t="shared" si="91"/>
        <v>3.06</v>
      </c>
      <c r="I73" s="225">
        <f t="shared" si="153"/>
        <v>1.6320000000000001</v>
      </c>
      <c r="J73" s="561">
        <f t="shared" si="92"/>
        <v>12</v>
      </c>
      <c r="K73" s="456">
        <f t="shared" si="93"/>
        <v>14.25871676951594</v>
      </c>
      <c r="L73" s="456">
        <f t="shared" si="94"/>
        <v>27.25</v>
      </c>
      <c r="M73" s="456"/>
      <c r="N73" s="225">
        <f t="shared" si="95"/>
        <v>0.55963302752293576</v>
      </c>
      <c r="O73" s="180">
        <f t="shared" si="137"/>
        <v>2.8577782209812521</v>
      </c>
      <c r="P73" s="180">
        <f t="shared" si="96"/>
        <v>2.3370275229357795</v>
      </c>
      <c r="Q73" s="225">
        <f t="shared" si="97"/>
        <v>0.19051854806541682</v>
      </c>
      <c r="R73" s="225">
        <f t="shared" si="98"/>
        <v>0.35722227762265651</v>
      </c>
      <c r="S73" s="456">
        <f t="shared" si="99"/>
        <v>14.00871676951594</v>
      </c>
      <c r="T73" s="225">
        <f t="shared" si="100"/>
        <v>1.45</v>
      </c>
      <c r="U73" s="225">
        <f t="shared" si="101"/>
        <v>4.833333333333333</v>
      </c>
      <c r="V73" s="225">
        <f t="shared" si="102"/>
        <v>4.0676872216158761</v>
      </c>
      <c r="W73" s="205">
        <f t="shared" si="103"/>
        <v>350</v>
      </c>
      <c r="X73" s="456">
        <f t="shared" si="138"/>
        <v>112.34666787101989</v>
      </c>
      <c r="Z73" s="225">
        <f t="shared" si="104"/>
        <v>0.46543619546565379</v>
      </c>
      <c r="AA73" s="181">
        <f t="shared" si="105"/>
        <v>1.3056888722573443</v>
      </c>
      <c r="AB73" s="181">
        <f t="shared" si="106"/>
        <v>0.10635010070392721</v>
      </c>
      <c r="AC73" s="181"/>
      <c r="AD73" s="181">
        <f t="shared" si="107"/>
        <v>0.81353744432317532</v>
      </c>
      <c r="AE73" s="565">
        <f t="shared" si="108"/>
        <v>1729.3568495726827</v>
      </c>
      <c r="AF73" s="548">
        <f t="shared" si="109"/>
        <v>4.1287025299401141E-2</v>
      </c>
      <c r="AH73" s="181">
        <f t="shared" si="110"/>
        <v>0.81870978636249014</v>
      </c>
      <c r="AI73" s="181">
        <f t="shared" si="111"/>
        <v>1.45</v>
      </c>
      <c r="AJ73" s="181">
        <f t="shared" si="112"/>
        <v>2.0592592592592593</v>
      </c>
      <c r="AL73" s="565">
        <f t="shared" si="113"/>
        <v>204.00000000000003</v>
      </c>
      <c r="AM73" s="474">
        <f t="shared" si="114"/>
        <v>112.34666787101989</v>
      </c>
      <c r="AO73" t="str">
        <f t="shared" si="139"/>
        <v/>
      </c>
      <c r="AP73" t="str">
        <f t="shared" si="115"/>
        <v/>
      </c>
      <c r="AR73" s="6">
        <f t="shared" si="140"/>
        <v>8.9010205549492092</v>
      </c>
      <c r="AS73" s="6">
        <f t="shared" si="116"/>
        <v>4.833333333333333</v>
      </c>
      <c r="AT73" s="6">
        <f t="shared" si="141"/>
        <v>4.0676872216158761</v>
      </c>
      <c r="AU73" s="181">
        <f t="shared" si="142"/>
        <v>0.54300889470992941</v>
      </c>
      <c r="AW73" s="6">
        <f t="shared" si="117"/>
        <v>6.5733333333333333</v>
      </c>
      <c r="AX73" s="6">
        <f t="shared" si="118"/>
        <v>12.324999999999999</v>
      </c>
      <c r="AY73" s="6">
        <f t="shared" si="119"/>
        <v>1.9208522990963854</v>
      </c>
      <c r="AZ73" s="6"/>
      <c r="BA73" s="181">
        <f t="shared" si="143"/>
        <v>0.61689442671271455</v>
      </c>
      <c r="BB73" s="181">
        <f t="shared" si="120"/>
        <v>0.56592808697229768</v>
      </c>
      <c r="BC73" s="181">
        <f t="shared" si="121"/>
        <v>0.55792506352016413</v>
      </c>
      <c r="BD73" s="181"/>
      <c r="BE73" s="548">
        <f t="shared" si="122"/>
        <v>0.13319555679822304</v>
      </c>
      <c r="BF73" s="548">
        <f t="shared" si="123"/>
        <v>4.4390977142536737E-2</v>
      </c>
      <c r="BG73" s="548">
        <f t="shared" si="124"/>
        <v>1.4043333483877486E-3</v>
      </c>
      <c r="BH73" s="548">
        <f t="shared" si="125"/>
        <v>4.7969042972560169E-3</v>
      </c>
      <c r="BI73">
        <f t="shared" si="126"/>
        <v>3.48E-3</v>
      </c>
      <c r="BJ73" s="474">
        <f t="shared" si="144"/>
        <v>187.26777158640354</v>
      </c>
      <c r="BK73" s="181">
        <f t="shared" si="127"/>
        <v>7.1400000000000005E-2</v>
      </c>
      <c r="BL73" s="181">
        <f t="shared" si="128"/>
        <v>7.1400000000000005E-2</v>
      </c>
      <c r="BM73" s="548"/>
      <c r="BO73" s="474">
        <f t="shared" si="145"/>
        <v>142.80000000000001</v>
      </c>
      <c r="BP73" s="548">
        <f t="shared" si="129"/>
        <v>0</v>
      </c>
      <c r="BQ73" s="548">
        <f t="shared" si="130"/>
        <v>0</v>
      </c>
      <c r="BR73" s="548">
        <f t="shared" si="131"/>
        <v>2.8015233885358124E-2</v>
      </c>
      <c r="BS73" s="548">
        <f t="shared" si="132"/>
        <v>1.6935206635050184E-2</v>
      </c>
      <c r="BT73" s="658">
        <f t="shared" si="133"/>
        <v>0.24801931265876032</v>
      </c>
      <c r="BU73" s="474">
        <f t="shared" si="146"/>
        <v>292.96975317916861</v>
      </c>
      <c r="BV73" s="181">
        <f t="shared" si="147"/>
        <v>0.62303752476557217</v>
      </c>
      <c r="BW73" s="6">
        <f t="shared" si="148"/>
        <v>4.6920000000000002</v>
      </c>
      <c r="BX73" s="181">
        <f t="shared" si="149"/>
        <v>0.88277833940729278</v>
      </c>
      <c r="BY73" s="6">
        <f t="shared" si="150"/>
        <v>88.27783394072928</v>
      </c>
      <c r="BZ73">
        <f t="shared" si="151"/>
        <v>68</v>
      </c>
      <c r="CB73" s="583">
        <f t="shared" si="134"/>
        <v>-50</v>
      </c>
      <c r="CC73">
        <f t="shared" si="135"/>
        <v>-50</v>
      </c>
    </row>
    <row r="74" spans="5:81" x14ac:dyDescent="0.2">
      <c r="E74" s="178">
        <v>69</v>
      </c>
      <c r="F74" s="225">
        <f t="shared" si="152"/>
        <v>0.20699999999999999</v>
      </c>
      <c r="G74" s="225">
        <f t="shared" si="136"/>
        <v>0.20699999999999999</v>
      </c>
      <c r="H74" s="225">
        <f t="shared" si="91"/>
        <v>3.105</v>
      </c>
      <c r="I74" s="225">
        <f t="shared" si="153"/>
        <v>1.6559999999999999</v>
      </c>
      <c r="J74" s="561">
        <f t="shared" si="92"/>
        <v>12</v>
      </c>
      <c r="K74" s="456">
        <f t="shared" si="93"/>
        <v>14.05569188879832</v>
      </c>
      <c r="L74" s="456">
        <f t="shared" si="94"/>
        <v>27.25</v>
      </c>
      <c r="M74" s="456"/>
      <c r="N74" s="225">
        <f t="shared" si="95"/>
        <v>0.55963302752293576</v>
      </c>
      <c r="O74" s="180">
        <f t="shared" si="137"/>
        <v>2.8577782209812521</v>
      </c>
      <c r="P74" s="180">
        <f t="shared" si="96"/>
        <v>2.3370275229357795</v>
      </c>
      <c r="Q74" s="225">
        <f t="shared" si="97"/>
        <v>0.19051854806541682</v>
      </c>
      <c r="R74" s="225">
        <f t="shared" si="98"/>
        <v>0.35722227762265651</v>
      </c>
      <c r="S74" s="456">
        <f t="shared" si="99"/>
        <v>13.80569188879832</v>
      </c>
      <c r="T74" s="225">
        <f t="shared" si="100"/>
        <v>1.45</v>
      </c>
      <c r="U74" s="225">
        <f t="shared" si="101"/>
        <v>4.833333333333333</v>
      </c>
      <c r="V74" s="225">
        <f t="shared" si="102"/>
        <v>4.1264421886070997</v>
      </c>
      <c r="W74" s="205">
        <f t="shared" si="103"/>
        <v>350</v>
      </c>
      <c r="X74" s="456">
        <f t="shared" si="138"/>
        <v>111.60993906055232</v>
      </c>
      <c r="Z74" s="225">
        <f t="shared" si="104"/>
        <v>0.46238403325085947</v>
      </c>
      <c r="AA74" s="181">
        <f t="shared" si="105"/>
        <v>1.3158627463066586</v>
      </c>
      <c r="AB74" s="181">
        <f t="shared" si="106"/>
        <v>0.10647593667231942</v>
      </c>
      <c r="AC74" s="181"/>
      <c r="AD74" s="181">
        <f t="shared" si="107"/>
        <v>0.82528843772142002</v>
      </c>
      <c r="AE74" s="565">
        <f t="shared" si="108"/>
        <v>1729.8027473134673</v>
      </c>
      <c r="AF74" s="548">
        <f t="shared" si="109"/>
        <v>4.1883388214362063E-2</v>
      </c>
      <c r="AH74" s="181">
        <f t="shared" si="110"/>
        <v>0.82470774044073158</v>
      </c>
      <c r="AI74" s="181">
        <f t="shared" si="111"/>
        <v>1.45</v>
      </c>
      <c r="AJ74" s="181">
        <f t="shared" si="112"/>
        <v>2.0592592592592593</v>
      </c>
      <c r="AL74" s="565">
        <f t="shared" si="113"/>
        <v>207</v>
      </c>
      <c r="AM74" s="474">
        <f t="shared" si="114"/>
        <v>111.60993906055232</v>
      </c>
      <c r="AO74" t="str">
        <f t="shared" si="139"/>
        <v/>
      </c>
      <c r="AP74" t="str">
        <f t="shared" si="115"/>
        <v/>
      </c>
      <c r="AR74" s="6">
        <f t="shared" si="140"/>
        <v>8.9597755219404309</v>
      </c>
      <c r="AS74" s="6">
        <f t="shared" si="116"/>
        <v>4.833333333333333</v>
      </c>
      <c r="AT74" s="6">
        <f t="shared" si="141"/>
        <v>4.1264421886070979</v>
      </c>
      <c r="AU74" s="181">
        <f t="shared" si="142"/>
        <v>0.53944803879266956</v>
      </c>
      <c r="AW74" s="6">
        <f t="shared" si="117"/>
        <v>6.67</v>
      </c>
      <c r="AX74" s="6">
        <f t="shared" si="118"/>
        <v>12.50625</v>
      </c>
      <c r="AY74" s="6">
        <f t="shared" si="119"/>
        <v>1.9772535487075671</v>
      </c>
      <c r="AZ74" s="6"/>
      <c r="BA74" s="181">
        <f t="shared" si="143"/>
        <v>0.61486841453045538</v>
      </c>
      <c r="BB74" s="181">
        <f t="shared" si="120"/>
        <v>0.56812865281214031</v>
      </c>
      <c r="BC74" s="181">
        <f t="shared" si="121"/>
        <v>0.56009451024712009</v>
      </c>
      <c r="BD74" s="181"/>
      <c r="BE74" s="548">
        <f t="shared" si="122"/>
        <v>0.13232210851551857</v>
      </c>
      <c r="BF74" s="548">
        <f t="shared" si="123"/>
        <v>4.4099877171300733E-2</v>
      </c>
      <c r="BG74" s="548">
        <f t="shared" si="124"/>
        <v>1.3951242382569038E-3</v>
      </c>
      <c r="BH74" s="548">
        <f t="shared" si="125"/>
        <v>4.7654479339849535E-3</v>
      </c>
      <c r="BI74">
        <f t="shared" si="126"/>
        <v>3.48E-3</v>
      </c>
      <c r="BJ74" s="474">
        <f t="shared" si="144"/>
        <v>186.06255785906117</v>
      </c>
      <c r="BK74" s="181">
        <f t="shared" si="127"/>
        <v>7.2449999999999987E-2</v>
      </c>
      <c r="BL74" s="181">
        <f t="shared" si="128"/>
        <v>7.2449999999999987E-2</v>
      </c>
      <c r="BM74" s="548"/>
      <c r="BO74" s="474">
        <f t="shared" si="145"/>
        <v>144.89999999999998</v>
      </c>
      <c r="BP74" s="548">
        <f t="shared" si="129"/>
        <v>0</v>
      </c>
      <c r="BQ74" s="548">
        <f t="shared" si="130"/>
        <v>0</v>
      </c>
      <c r="BR74" s="548">
        <f t="shared" si="131"/>
        <v>2.8233527436806516E-2</v>
      </c>
      <c r="BS74" s="548">
        <f t="shared" si="132"/>
        <v>1.6658933227155205E-2</v>
      </c>
      <c r="BT74" s="658">
        <f t="shared" si="133"/>
        <v>0.24639289171855186</v>
      </c>
      <c r="BU74" s="474">
        <f t="shared" si="146"/>
        <v>291.28535238251357</v>
      </c>
      <c r="BV74" s="181">
        <f t="shared" si="147"/>
        <v>0.62224791024157478</v>
      </c>
      <c r="BW74" s="6">
        <f t="shared" si="148"/>
        <v>4.7610000000000001</v>
      </c>
      <c r="BX74" s="181">
        <f t="shared" si="149"/>
        <v>0.88441031871154308</v>
      </c>
      <c r="BY74" s="6">
        <f t="shared" si="150"/>
        <v>88.441031871154308</v>
      </c>
      <c r="BZ74">
        <f t="shared" si="151"/>
        <v>69</v>
      </c>
      <c r="CB74" s="583">
        <f t="shared" si="134"/>
        <v>-50</v>
      </c>
      <c r="CC74">
        <f t="shared" si="135"/>
        <v>-50</v>
      </c>
    </row>
    <row r="75" spans="5:81" x14ac:dyDescent="0.2">
      <c r="E75" s="178">
        <v>70</v>
      </c>
      <c r="F75" s="225">
        <f t="shared" si="152"/>
        <v>0.21</v>
      </c>
      <c r="G75" s="225">
        <f t="shared" si="136"/>
        <v>0.21</v>
      </c>
      <c r="H75" s="225">
        <f t="shared" si="91"/>
        <v>3.15</v>
      </c>
      <c r="I75" s="225">
        <f t="shared" si="153"/>
        <v>1.68</v>
      </c>
      <c r="J75" s="561">
        <f t="shared" si="92"/>
        <v>12</v>
      </c>
      <c r="K75" s="456">
        <f t="shared" si="93"/>
        <v>13.858467718958345</v>
      </c>
      <c r="L75" s="456">
        <f t="shared" si="94"/>
        <v>27.25</v>
      </c>
      <c r="M75" s="456"/>
      <c r="N75" s="225">
        <f t="shared" si="95"/>
        <v>0.55963302752293576</v>
      </c>
      <c r="O75" s="180">
        <f t="shared" si="137"/>
        <v>2.8577782209812521</v>
      </c>
      <c r="P75" s="180">
        <f t="shared" si="96"/>
        <v>2.3370275229357795</v>
      </c>
      <c r="Q75" s="225">
        <f t="shared" si="97"/>
        <v>0.19051854806541682</v>
      </c>
      <c r="R75" s="225">
        <f t="shared" si="98"/>
        <v>0.35722227762265651</v>
      </c>
      <c r="S75" s="456">
        <f t="shared" si="99"/>
        <v>13.608467718958345</v>
      </c>
      <c r="T75" s="225">
        <f t="shared" si="100"/>
        <v>1.45</v>
      </c>
      <c r="U75" s="225">
        <f t="shared" si="101"/>
        <v>4.833333333333333</v>
      </c>
      <c r="V75" s="225">
        <f t="shared" si="102"/>
        <v>4.1851668724281952</v>
      </c>
      <c r="W75" s="205">
        <f t="shared" si="103"/>
        <v>350</v>
      </c>
      <c r="X75" s="456">
        <f t="shared" si="138"/>
        <v>110.88318203520618</v>
      </c>
      <c r="Z75" s="225">
        <f t="shared" si="104"/>
        <v>0.45937318271728267</v>
      </c>
      <c r="AA75" s="181">
        <f t="shared" si="105"/>
        <v>1.3258989147519145</v>
      </c>
      <c r="AB75" s="181">
        <f t="shared" si="106"/>
        <v>0.10658942077542116</v>
      </c>
      <c r="AC75" s="181"/>
      <c r="AD75" s="181">
        <f t="shared" si="107"/>
        <v>0.83703337448563908</v>
      </c>
      <c r="AE75" s="565">
        <f t="shared" si="108"/>
        <v>1730.2486450542524</v>
      </c>
      <c r="AF75" s="548">
        <f t="shared" si="109"/>
        <v>4.247944375514618E-2</v>
      </c>
      <c r="AH75" s="181">
        <f t="shared" si="110"/>
        <v>0.83066238629180744</v>
      </c>
      <c r="AI75" s="181">
        <f t="shared" si="111"/>
        <v>1.45</v>
      </c>
      <c r="AJ75" s="181">
        <f t="shared" si="112"/>
        <v>2.0592592592592593</v>
      </c>
      <c r="AL75" s="565">
        <f t="shared" si="113"/>
        <v>210</v>
      </c>
      <c r="AM75" s="474">
        <f t="shared" si="114"/>
        <v>110.88318203520618</v>
      </c>
      <c r="AO75" t="str">
        <f t="shared" si="139"/>
        <v/>
      </c>
      <c r="AP75" t="str">
        <f t="shared" si="115"/>
        <v/>
      </c>
      <c r="AR75" s="6">
        <f t="shared" si="140"/>
        <v>9.01850020576153</v>
      </c>
      <c r="AS75" s="6">
        <f t="shared" si="116"/>
        <v>4.833333333333333</v>
      </c>
      <c r="AT75" s="6">
        <f t="shared" si="141"/>
        <v>4.185166872428197</v>
      </c>
      <c r="AU75" s="181">
        <f t="shared" si="142"/>
        <v>0.53593537983682982</v>
      </c>
      <c r="AW75" s="6">
        <f t="shared" si="117"/>
        <v>6.7666666666666657</v>
      </c>
      <c r="AX75" s="6">
        <f t="shared" si="118"/>
        <v>12.6875</v>
      </c>
      <c r="AY75" s="6">
        <f t="shared" si="119"/>
        <v>2.0344561185414847</v>
      </c>
      <c r="AZ75" s="6"/>
      <c r="BA75" s="181">
        <f t="shared" si="143"/>
        <v>0.61286326264698843</v>
      </c>
      <c r="BB75" s="181">
        <f t="shared" si="120"/>
        <v>0.57029111393306997</v>
      </c>
      <c r="BC75" s="181">
        <f t="shared" si="121"/>
        <v>0.56222639110977413</v>
      </c>
      <c r="BD75" s="181"/>
      <c r="BE75" s="548">
        <f t="shared" si="122"/>
        <v>0.13146048254580903</v>
      </c>
      <c r="BF75" s="548">
        <f t="shared" si="123"/>
        <v>4.3812717301660836E-2</v>
      </c>
      <c r="BG75" s="548">
        <f t="shared" si="124"/>
        <v>1.3860397754400771E-3</v>
      </c>
      <c r="BH75" s="548">
        <f t="shared" si="125"/>
        <v>4.7344173394510223E-3</v>
      </c>
      <c r="BI75">
        <f t="shared" si="126"/>
        <v>3.48E-3</v>
      </c>
      <c r="BJ75" s="474">
        <f t="shared" si="144"/>
        <v>184.87365696236097</v>
      </c>
      <c r="BK75" s="181">
        <f t="shared" si="127"/>
        <v>7.3499999999999996E-2</v>
      </c>
      <c r="BL75" s="181">
        <f t="shared" si="128"/>
        <v>7.3499999999999996E-2</v>
      </c>
      <c r="BM75" s="548"/>
      <c r="BO75" s="474">
        <f t="shared" si="145"/>
        <v>147</v>
      </c>
      <c r="BP75" s="548">
        <f t="shared" si="129"/>
        <v>0</v>
      </c>
      <c r="BQ75" s="548">
        <f t="shared" si="130"/>
        <v>0</v>
      </c>
      <c r="BR75" s="548">
        <f t="shared" si="131"/>
        <v>2.8448866337428862E-2</v>
      </c>
      <c r="BS75" s="548">
        <f t="shared" si="132"/>
        <v>1.6389066261839457E-2</v>
      </c>
      <c r="BT75" s="658">
        <f t="shared" si="133"/>
        <v>0.24478848474047207</v>
      </c>
      <c r="BU75" s="474">
        <f t="shared" si="146"/>
        <v>289.62641733974039</v>
      </c>
      <c r="BV75" s="181">
        <f t="shared" si="147"/>
        <v>0.62150007430210141</v>
      </c>
      <c r="BW75" s="6">
        <f t="shared" si="148"/>
        <v>4.83</v>
      </c>
      <c r="BX75" s="181">
        <f t="shared" si="149"/>
        <v>0.88599466828739504</v>
      </c>
      <c r="BY75" s="6">
        <f t="shared" si="150"/>
        <v>88.599466828739509</v>
      </c>
      <c r="BZ75">
        <f t="shared" si="151"/>
        <v>70</v>
      </c>
      <c r="CB75" s="583">
        <f t="shared" si="134"/>
        <v>-50</v>
      </c>
      <c r="CC75">
        <f t="shared" si="135"/>
        <v>-50</v>
      </c>
    </row>
    <row r="76" spans="5:81" x14ac:dyDescent="0.2">
      <c r="E76" s="178">
        <v>71</v>
      </c>
      <c r="F76" s="225">
        <f t="shared" si="152"/>
        <v>0.21299999999999999</v>
      </c>
      <c r="G76" s="225">
        <f t="shared" si="136"/>
        <v>0.21299999999999999</v>
      </c>
      <c r="H76" s="225">
        <f t="shared" si="91"/>
        <v>3.1949999999999998</v>
      </c>
      <c r="I76" s="225">
        <f t="shared" si="153"/>
        <v>1.704</v>
      </c>
      <c r="J76" s="561">
        <f t="shared" si="92"/>
        <v>12</v>
      </c>
      <c r="K76" s="456">
        <f t="shared" si="93"/>
        <v>13.666799159536396</v>
      </c>
      <c r="L76" s="456">
        <f t="shared" si="94"/>
        <v>27.25</v>
      </c>
      <c r="M76" s="456"/>
      <c r="N76" s="225">
        <f t="shared" si="95"/>
        <v>0.55963302752293576</v>
      </c>
      <c r="O76" s="180">
        <f t="shared" si="137"/>
        <v>2.8577782209812521</v>
      </c>
      <c r="P76" s="180">
        <f t="shared" si="96"/>
        <v>2.3370275229357795</v>
      </c>
      <c r="Q76" s="225">
        <f t="shared" si="97"/>
        <v>0.19051854806541682</v>
      </c>
      <c r="R76" s="225">
        <f t="shared" si="98"/>
        <v>0.35722227762265651</v>
      </c>
      <c r="S76" s="456">
        <f t="shared" si="99"/>
        <v>13.416799159536396</v>
      </c>
      <c r="T76" s="225">
        <f t="shared" si="100"/>
        <v>1.45</v>
      </c>
      <c r="U76" s="225">
        <f t="shared" si="101"/>
        <v>4.833333333333333</v>
      </c>
      <c r="V76" s="225">
        <f t="shared" si="102"/>
        <v>4.2438612964857141</v>
      </c>
      <c r="W76" s="205">
        <f t="shared" si="103"/>
        <v>350</v>
      </c>
      <c r="X76" s="456">
        <f t="shared" si="138"/>
        <v>110.16619570048096</v>
      </c>
      <c r="Z76" s="225">
        <f t="shared" si="104"/>
        <v>0.45640281075913541</v>
      </c>
      <c r="AA76" s="181">
        <f t="shared" si="105"/>
        <v>1.3358001546124061</v>
      </c>
      <c r="AB76" s="181">
        <f t="shared" si="106"/>
        <v>0.10669101540607821</v>
      </c>
      <c r="AC76" s="181"/>
      <c r="AD76" s="181">
        <f t="shared" si="107"/>
        <v>0.84877225929714295</v>
      </c>
      <c r="AE76" s="565">
        <f t="shared" si="108"/>
        <v>1730.694542795037</v>
      </c>
      <c r="AF76" s="548">
        <f t="shared" si="109"/>
        <v>4.3075192159330006E-2</v>
      </c>
      <c r="AH76" s="181">
        <f t="shared" si="110"/>
        <v>0.83657464870574627</v>
      </c>
      <c r="AI76" s="181">
        <f t="shared" si="111"/>
        <v>1.45</v>
      </c>
      <c r="AJ76" s="181">
        <f t="shared" si="112"/>
        <v>2.0592592592592593</v>
      </c>
      <c r="AL76" s="565">
        <f t="shared" si="113"/>
        <v>213</v>
      </c>
      <c r="AM76" s="474">
        <f t="shared" si="114"/>
        <v>110.16619570048096</v>
      </c>
      <c r="AO76" t="str">
        <f t="shared" si="139"/>
        <v/>
      </c>
      <c r="AP76" t="str">
        <f t="shared" si="115"/>
        <v/>
      </c>
      <c r="AR76" s="6">
        <f t="shared" si="140"/>
        <v>9.0771946298190471</v>
      </c>
      <c r="AS76" s="6">
        <f t="shared" si="116"/>
        <v>4.833333333333333</v>
      </c>
      <c r="AT76" s="6">
        <f t="shared" si="141"/>
        <v>4.2438612964857141</v>
      </c>
      <c r="AU76" s="181">
        <f t="shared" si="142"/>
        <v>0.53246994588565799</v>
      </c>
      <c r="AW76" s="6">
        <f t="shared" si="117"/>
        <v>6.8633333333333324</v>
      </c>
      <c r="AX76" s="6">
        <f t="shared" si="118"/>
        <v>12.868749999999999</v>
      </c>
      <c r="AY76" s="6">
        <f t="shared" si="119"/>
        <v>2.092459389239484</v>
      </c>
      <c r="AZ76" s="6"/>
      <c r="BA76" s="181">
        <f t="shared" si="143"/>
        <v>0.61087861893740014</v>
      </c>
      <c r="BB76" s="181">
        <f t="shared" si="120"/>
        <v>0.57241649719279408</v>
      </c>
      <c r="BC76" s="181">
        <f t="shared" si="121"/>
        <v>0.56432171844461321</v>
      </c>
      <c r="BD76" s="181"/>
      <c r="BE76" s="548">
        <f t="shared" si="122"/>
        <v>0.13061044047620285</v>
      </c>
      <c r="BF76" s="548">
        <f t="shared" si="123"/>
        <v>4.3529418076152529E-2</v>
      </c>
      <c r="BG76" s="548">
        <f t="shared" si="124"/>
        <v>1.3770774462560119E-3</v>
      </c>
      <c r="BH76" s="548">
        <f t="shared" si="125"/>
        <v>4.7038039274532066E-3</v>
      </c>
      <c r="BI76">
        <f t="shared" si="126"/>
        <v>3.48E-3</v>
      </c>
      <c r="BJ76" s="474">
        <f t="shared" si="144"/>
        <v>183.70073992606459</v>
      </c>
      <c r="BK76" s="181">
        <f t="shared" si="127"/>
        <v>7.4549999999999991E-2</v>
      </c>
      <c r="BL76" s="181">
        <f t="shared" si="128"/>
        <v>7.4549999999999991E-2</v>
      </c>
      <c r="BM76" s="548"/>
      <c r="BO76" s="474">
        <f t="shared" si="145"/>
        <v>149.1</v>
      </c>
      <c r="BP76" s="548">
        <f t="shared" si="129"/>
        <v>0</v>
      </c>
      <c r="BQ76" s="548">
        <f t="shared" si="130"/>
        <v>0</v>
      </c>
      <c r="BR76" s="548">
        <f t="shared" si="131"/>
        <v>2.8661310171745315E-2</v>
      </c>
      <c r="BS76" s="548">
        <f t="shared" si="132"/>
        <v>1.6125414656736774E-2</v>
      </c>
      <c r="BT76" s="658">
        <f t="shared" si="133"/>
        <v>0.2432056477832743</v>
      </c>
      <c r="BU76" s="474">
        <f t="shared" si="146"/>
        <v>287.99237261175637</v>
      </c>
      <c r="BV76" s="181">
        <f t="shared" si="147"/>
        <v>0.62079311253782099</v>
      </c>
      <c r="BW76" s="6">
        <f t="shared" si="148"/>
        <v>4.899</v>
      </c>
      <c r="BX76" s="181">
        <f t="shared" si="149"/>
        <v>0.88753326440302027</v>
      </c>
      <c r="BY76" s="6">
        <f t="shared" si="150"/>
        <v>88.753326440302033</v>
      </c>
      <c r="BZ76">
        <f t="shared" si="151"/>
        <v>71</v>
      </c>
      <c r="CB76" s="583">
        <f t="shared" si="134"/>
        <v>-50</v>
      </c>
      <c r="CC76">
        <f t="shared" si="135"/>
        <v>-50</v>
      </c>
    </row>
    <row r="77" spans="5:81" x14ac:dyDescent="0.2">
      <c r="E77" s="178">
        <v>72</v>
      </c>
      <c r="F77" s="225">
        <f t="shared" si="152"/>
        <v>0.216</v>
      </c>
      <c r="G77" s="225">
        <f t="shared" si="136"/>
        <v>0.216</v>
      </c>
      <c r="H77" s="225">
        <f t="shared" si="91"/>
        <v>3.2399999999999998</v>
      </c>
      <c r="I77" s="225">
        <f t="shared" si="153"/>
        <v>1.728</v>
      </c>
      <c r="J77" s="561">
        <f t="shared" si="92"/>
        <v>12</v>
      </c>
      <c r="K77" s="456">
        <f t="shared" si="93"/>
        <v>13.480454726765057</v>
      </c>
      <c r="L77" s="456">
        <f t="shared" si="94"/>
        <v>27.25</v>
      </c>
      <c r="M77" s="456"/>
      <c r="N77" s="225">
        <f t="shared" si="95"/>
        <v>0.55963302752293576</v>
      </c>
      <c r="O77" s="180">
        <f t="shared" si="137"/>
        <v>2.8577782209812521</v>
      </c>
      <c r="P77" s="180">
        <f t="shared" si="96"/>
        <v>2.3370275229357795</v>
      </c>
      <c r="Q77" s="225">
        <f t="shared" si="97"/>
        <v>0.19051854806541682</v>
      </c>
      <c r="R77" s="225">
        <f t="shared" si="98"/>
        <v>0.35722227762265651</v>
      </c>
      <c r="S77" s="456">
        <f t="shared" si="99"/>
        <v>13.230454726765057</v>
      </c>
      <c r="T77" s="225">
        <f t="shared" si="100"/>
        <v>1.45</v>
      </c>
      <c r="U77" s="225">
        <f t="shared" si="101"/>
        <v>4.833333333333333</v>
      </c>
      <c r="V77" s="225">
        <f t="shared" si="102"/>
        <v>4.3025254841620928</v>
      </c>
      <c r="W77" s="205">
        <f t="shared" si="103"/>
        <v>350</v>
      </c>
      <c r="X77" s="456">
        <f t="shared" si="138"/>
        <v>109.45878433289404</v>
      </c>
      <c r="Z77" s="225">
        <f t="shared" si="104"/>
        <v>0.45347210652198949</v>
      </c>
      <c r="AA77" s="181">
        <f t="shared" si="105"/>
        <v>1.3455691687362257</v>
      </c>
      <c r="AB77" s="181">
        <f t="shared" si="106"/>
        <v>0.10678116494812526</v>
      </c>
      <c r="AC77" s="181"/>
      <c r="AD77" s="181">
        <f t="shared" si="107"/>
        <v>0.8605050968324186</v>
      </c>
      <c r="AE77" s="565">
        <f t="shared" si="108"/>
        <v>1731.1404405358217</v>
      </c>
      <c r="AF77" s="548">
        <f t="shared" si="109"/>
        <v>4.3670633664245243E-2</v>
      </c>
      <c r="AH77" s="181">
        <f t="shared" si="110"/>
        <v>0.84244542002095635</v>
      </c>
      <c r="AI77" s="181">
        <f t="shared" si="111"/>
        <v>1.45</v>
      </c>
      <c r="AJ77" s="181">
        <f t="shared" si="112"/>
        <v>2.0592592592592593</v>
      </c>
      <c r="AL77" s="565">
        <f t="shared" si="113"/>
        <v>216</v>
      </c>
      <c r="AM77" s="474">
        <f t="shared" si="114"/>
        <v>109.45878433289404</v>
      </c>
      <c r="AO77" t="str">
        <f t="shared" si="139"/>
        <v/>
      </c>
      <c r="AP77" t="str">
        <f t="shared" si="115"/>
        <v/>
      </c>
      <c r="AR77" s="6">
        <f t="shared" si="140"/>
        <v>9.1358588174954232</v>
      </c>
      <c r="AS77" s="6">
        <f t="shared" si="116"/>
        <v>4.833333333333333</v>
      </c>
      <c r="AT77" s="6">
        <f t="shared" si="141"/>
        <v>4.3025254841620901</v>
      </c>
      <c r="AU77" s="181">
        <f t="shared" si="142"/>
        <v>0.52905079094232121</v>
      </c>
      <c r="AW77" s="6">
        <f t="shared" si="117"/>
        <v>6.9599999999999991</v>
      </c>
      <c r="AX77" s="6">
        <f t="shared" si="118"/>
        <v>13.049999999999997</v>
      </c>
      <c r="AY77" s="6">
        <f t="shared" si="119"/>
        <v>2.1512627420810446</v>
      </c>
      <c r="AZ77" s="6"/>
      <c r="BA77" s="181">
        <f t="shared" si="143"/>
        <v>0.60891413952932927</v>
      </c>
      <c r="BB77" s="181">
        <f t="shared" si="120"/>
        <v>0.57450579110622535</v>
      </c>
      <c r="BC77" s="181">
        <f t="shared" si="121"/>
        <v>0.56638146678755141</v>
      </c>
      <c r="BD77" s="181"/>
      <c r="BE77" s="548">
        <f t="shared" si="122"/>
        <v>0.12977175026156021</v>
      </c>
      <c r="BF77" s="548">
        <f t="shared" si="123"/>
        <v>4.3249902159534746E-2</v>
      </c>
      <c r="BG77" s="548">
        <f t="shared" si="124"/>
        <v>1.3682348041611754E-3</v>
      </c>
      <c r="BH77" s="548">
        <f t="shared" si="125"/>
        <v>4.6735993411186911E-3</v>
      </c>
      <c r="BI77">
        <f t="shared" si="126"/>
        <v>3.48E-3</v>
      </c>
      <c r="BJ77" s="474">
        <f t="shared" si="144"/>
        <v>182.54348656637484</v>
      </c>
      <c r="BK77" s="181">
        <f t="shared" si="127"/>
        <v>7.5600000000000001E-2</v>
      </c>
      <c r="BL77" s="181">
        <f t="shared" si="128"/>
        <v>7.5600000000000001E-2</v>
      </c>
      <c r="BM77" s="548"/>
      <c r="BO77" s="474">
        <f t="shared" si="145"/>
        <v>151.19999999999999</v>
      </c>
      <c r="BP77" s="548">
        <f t="shared" si="129"/>
        <v>0</v>
      </c>
      <c r="BQ77" s="548">
        <f t="shared" si="130"/>
        <v>0</v>
      </c>
      <c r="BR77" s="548">
        <f t="shared" si="131"/>
        <v>2.8870916932837637E-2</v>
      </c>
      <c r="BS77" s="548">
        <f t="shared" si="132"/>
        <v>1.5867794271586789E-2</v>
      </c>
      <c r="BT77" s="658">
        <f t="shared" si="133"/>
        <v>0.24164394876290526</v>
      </c>
      <c r="BU77" s="474">
        <f t="shared" si="146"/>
        <v>286.38265996732969</v>
      </c>
      <c r="BV77" s="181">
        <f t="shared" si="147"/>
        <v>0.62012614653370457</v>
      </c>
      <c r="BW77" s="6">
        <f t="shared" si="148"/>
        <v>4.968</v>
      </c>
      <c r="BX77" s="181">
        <f t="shared" si="149"/>
        <v>0.88902789051776032</v>
      </c>
      <c r="BY77" s="6">
        <f t="shared" si="150"/>
        <v>88.902789051776026</v>
      </c>
      <c r="BZ77">
        <f t="shared" si="151"/>
        <v>72</v>
      </c>
      <c r="CB77" s="583">
        <f t="shared" si="134"/>
        <v>-50</v>
      </c>
      <c r="CC77">
        <f t="shared" si="135"/>
        <v>-50</v>
      </c>
    </row>
    <row r="78" spans="5:81" x14ac:dyDescent="0.2">
      <c r="E78" s="178">
        <v>73</v>
      </c>
      <c r="F78" s="225">
        <f t="shared" si="152"/>
        <v>0.219</v>
      </c>
      <c r="G78" s="225">
        <f t="shared" si="136"/>
        <v>0.219</v>
      </c>
      <c r="H78" s="225">
        <f t="shared" si="91"/>
        <v>3.2850000000000001</v>
      </c>
      <c r="I78" s="225">
        <f t="shared" si="153"/>
        <v>1.752</v>
      </c>
      <c r="J78" s="561">
        <f t="shared" si="92"/>
        <v>12</v>
      </c>
      <c r="K78" s="456">
        <f t="shared" si="93"/>
        <v>13.299215620918959</v>
      </c>
      <c r="L78" s="456">
        <f t="shared" si="94"/>
        <v>27.25</v>
      </c>
      <c r="M78" s="456"/>
      <c r="N78" s="225">
        <f t="shared" si="95"/>
        <v>0.55963302752293576</v>
      </c>
      <c r="O78" s="180">
        <f t="shared" si="137"/>
        <v>2.8577782209812521</v>
      </c>
      <c r="P78" s="180">
        <f t="shared" si="96"/>
        <v>2.3370275229357795</v>
      </c>
      <c r="Q78" s="225">
        <f t="shared" si="97"/>
        <v>0.19051854806541682</v>
      </c>
      <c r="R78" s="225">
        <f t="shared" si="98"/>
        <v>0.35722227762265651</v>
      </c>
      <c r="S78" s="456">
        <f t="shared" si="99"/>
        <v>13.049215620918959</v>
      </c>
      <c r="T78" s="225">
        <f t="shared" si="100"/>
        <v>1.45</v>
      </c>
      <c r="U78" s="225">
        <f t="shared" si="101"/>
        <v>4.833333333333333</v>
      </c>
      <c r="V78" s="225">
        <f t="shared" si="102"/>
        <v>4.3611594588156821</v>
      </c>
      <c r="W78" s="205">
        <f t="shared" si="103"/>
        <v>350</v>
      </c>
      <c r="X78" s="456">
        <f t="shared" si="138"/>
        <v>108.76075740185246</v>
      </c>
      <c r="Z78" s="225">
        <f t="shared" si="104"/>
        <v>0.4505802806648172</v>
      </c>
      <c r="AA78" s="181">
        <f t="shared" si="105"/>
        <v>1.3552085882601328</v>
      </c>
      <c r="AB78" s="181">
        <f t="shared" si="106"/>
        <v>0.10686029656008372</v>
      </c>
      <c r="AC78" s="181"/>
      <c r="AD78" s="181">
        <f t="shared" si="107"/>
        <v>0.87223189176313665</v>
      </c>
      <c r="AE78" s="565">
        <f t="shared" si="108"/>
        <v>1731.5863382766065</v>
      </c>
      <c r="AF78" s="548">
        <f t="shared" si="109"/>
        <v>4.4265768506979178E-2</v>
      </c>
      <c r="AH78" s="181">
        <f t="shared" si="110"/>
        <v>0.84827556169645035</v>
      </c>
      <c r="AI78" s="181">
        <f t="shared" si="111"/>
        <v>1.45</v>
      </c>
      <c r="AJ78" s="181">
        <f t="shared" si="112"/>
        <v>2.0592592592592593</v>
      </c>
      <c r="AL78" s="565">
        <f t="shared" si="113"/>
        <v>219</v>
      </c>
      <c r="AM78" s="474">
        <f t="shared" si="114"/>
        <v>108.76075740185246</v>
      </c>
      <c r="AO78" t="str">
        <f t="shared" si="139"/>
        <v/>
      </c>
      <c r="AP78" t="str">
        <f t="shared" si="115"/>
        <v/>
      </c>
      <c r="AR78" s="6">
        <f t="shared" si="140"/>
        <v>9.1944927921490152</v>
      </c>
      <c r="AS78" s="6">
        <f t="shared" si="116"/>
        <v>4.833333333333333</v>
      </c>
      <c r="AT78" s="6">
        <f t="shared" si="141"/>
        <v>4.3611594588156821</v>
      </c>
      <c r="AU78" s="181">
        <f t="shared" si="142"/>
        <v>0.52567699410895352</v>
      </c>
      <c r="AW78" s="6">
        <f t="shared" si="117"/>
        <v>7.0566666666666666</v>
      </c>
      <c r="AX78" s="6">
        <f t="shared" si="118"/>
        <v>13.231249999999999</v>
      </c>
      <c r="AY78" s="6">
        <f t="shared" si="119"/>
        <v>2.2108655589829498</v>
      </c>
      <c r="AZ78" s="6"/>
      <c r="BA78" s="181">
        <f t="shared" si="143"/>
        <v>0.60696948855607635</v>
      </c>
      <c r="BB78" s="181">
        <f t="shared" si="120"/>
        <v>0.57655994770301933</v>
      </c>
      <c r="BC78" s="181">
        <f t="shared" si="121"/>
        <v>0.56840657470519884</v>
      </c>
      <c r="BD78" s="181"/>
      <c r="BE78" s="548">
        <f t="shared" si="122"/>
        <v>0.1289441860133087</v>
      </c>
      <c r="BF78" s="548">
        <f t="shared" si="123"/>
        <v>4.2974094268406954E-2</v>
      </c>
      <c r="BG78" s="548">
        <f t="shared" si="124"/>
        <v>1.3595094675231557E-3</v>
      </c>
      <c r="BH78" s="548">
        <f t="shared" si="125"/>
        <v>4.6437954452972505E-3</v>
      </c>
      <c r="BI78">
        <f t="shared" si="126"/>
        <v>3.48E-3</v>
      </c>
      <c r="BJ78" s="474">
        <f t="shared" si="144"/>
        <v>181.4015851945361</v>
      </c>
      <c r="BK78" s="181">
        <f t="shared" si="127"/>
        <v>7.6649999999999996E-2</v>
      </c>
      <c r="BL78" s="181">
        <f t="shared" si="128"/>
        <v>7.6649999999999996E-2</v>
      </c>
      <c r="BM78" s="548"/>
      <c r="BO78" s="474">
        <f t="shared" si="145"/>
        <v>153.29999999999998</v>
      </c>
      <c r="BP78" s="548">
        <f t="shared" si="129"/>
        <v>0</v>
      </c>
      <c r="BQ78" s="548">
        <f t="shared" si="130"/>
        <v>0</v>
      </c>
      <c r="BR78" s="548">
        <f t="shared" si="131"/>
        <v>2.9077743075128708E-2</v>
      </c>
      <c r="BS78" s="548">
        <f t="shared" si="132"/>
        <v>1.5616027611615974E-2</v>
      </c>
      <c r="BT78" s="658">
        <f t="shared" si="133"/>
        <v>0.24010296705926457</v>
      </c>
      <c r="BU78" s="474">
        <f t="shared" si="146"/>
        <v>284.79673774600923</v>
      </c>
      <c r="BV78" s="181">
        <f t="shared" si="147"/>
        <v>0.6194983229405453</v>
      </c>
      <c r="BW78" s="6">
        <f t="shared" si="148"/>
        <v>5.0369999999999999</v>
      </c>
      <c r="BX78" s="181">
        <f t="shared" si="149"/>
        <v>0.89048024279825155</v>
      </c>
      <c r="BY78" s="6">
        <f t="shared" si="150"/>
        <v>89.048024279825157</v>
      </c>
      <c r="BZ78">
        <f t="shared" si="151"/>
        <v>73</v>
      </c>
      <c r="CB78" s="583">
        <f t="shared" si="134"/>
        <v>-50</v>
      </c>
      <c r="CC78">
        <f t="shared" si="135"/>
        <v>-50</v>
      </c>
    </row>
    <row r="79" spans="5:81" x14ac:dyDescent="0.2">
      <c r="E79" s="178">
        <v>74</v>
      </c>
      <c r="F79" s="225">
        <f t="shared" si="152"/>
        <v>0.222</v>
      </c>
      <c r="G79" s="225">
        <f t="shared" si="136"/>
        <v>0.222</v>
      </c>
      <c r="H79" s="225">
        <f t="shared" si="91"/>
        <v>3.33</v>
      </c>
      <c r="I79" s="225">
        <f t="shared" si="153"/>
        <v>1.776</v>
      </c>
      <c r="J79" s="561">
        <f t="shared" si="92"/>
        <v>12</v>
      </c>
      <c r="K79" s="456">
        <f t="shared" si="93"/>
        <v>13.122874869284919</v>
      </c>
      <c r="L79" s="456">
        <f t="shared" si="94"/>
        <v>27.25</v>
      </c>
      <c r="M79" s="456"/>
      <c r="N79" s="225">
        <f t="shared" si="95"/>
        <v>0.55963302752293576</v>
      </c>
      <c r="O79" s="180">
        <f t="shared" si="137"/>
        <v>2.8577782209812521</v>
      </c>
      <c r="P79" s="180">
        <f t="shared" si="96"/>
        <v>2.3370275229357795</v>
      </c>
      <c r="Q79" s="225">
        <f t="shared" si="97"/>
        <v>0.19051854806541682</v>
      </c>
      <c r="R79" s="225">
        <f t="shared" si="98"/>
        <v>0.35722227762265651</v>
      </c>
      <c r="S79" s="456">
        <f t="shared" si="99"/>
        <v>12.872874869284919</v>
      </c>
      <c r="T79" s="225">
        <f t="shared" si="100"/>
        <v>1.45</v>
      </c>
      <c r="U79" s="225">
        <f t="shared" si="101"/>
        <v>4.833333333333333</v>
      </c>
      <c r="V79" s="225">
        <f t="shared" si="102"/>
        <v>4.419763243780781</v>
      </c>
      <c r="W79" s="205">
        <f t="shared" si="103"/>
        <v>350</v>
      </c>
      <c r="X79" s="456">
        <f t="shared" si="138"/>
        <v>108.07192939856716</v>
      </c>
      <c r="Z79" s="225">
        <f t="shared" si="104"/>
        <v>0.44772656465120675</v>
      </c>
      <c r="AA79" s="181">
        <f t="shared" si="105"/>
        <v>1.3647209749721678</v>
      </c>
      <c r="AB79" s="181">
        <f t="shared" si="106"/>
        <v>0.10692882092055349</v>
      </c>
      <c r="AC79" s="181"/>
      <c r="AD79" s="181">
        <f t="shared" si="107"/>
        <v>0.8839526487561562</v>
      </c>
      <c r="AE79" s="565">
        <f t="shared" si="108"/>
        <v>1732.0322360173914</v>
      </c>
      <c r="AF79" s="548">
        <f t="shared" si="109"/>
        <v>4.4860596924374919E-2</v>
      </c>
      <c r="AH79" s="181">
        <f t="shared" si="110"/>
        <v>0.85406590578746988</v>
      </c>
      <c r="AI79" s="181">
        <f t="shared" si="111"/>
        <v>1.45</v>
      </c>
      <c r="AJ79" s="181">
        <f t="shared" si="112"/>
        <v>2.0592592592592593</v>
      </c>
      <c r="AL79" s="565">
        <f t="shared" si="113"/>
        <v>222</v>
      </c>
      <c r="AM79" s="474">
        <f t="shared" si="114"/>
        <v>108.07192939856716</v>
      </c>
      <c r="AO79" t="str">
        <f t="shared" si="139"/>
        <v/>
      </c>
      <c r="AP79" t="str">
        <f t="shared" si="115"/>
        <v/>
      </c>
      <c r="AR79" s="6">
        <f t="shared" si="140"/>
        <v>9.253096577114114</v>
      </c>
      <c r="AS79" s="6">
        <f t="shared" si="116"/>
        <v>4.833333333333333</v>
      </c>
      <c r="AT79" s="6">
        <f t="shared" si="141"/>
        <v>4.419763243780781</v>
      </c>
      <c r="AU79" s="181">
        <f t="shared" si="142"/>
        <v>0.52234765875974121</v>
      </c>
      <c r="AW79" s="6">
        <f t="shared" si="117"/>
        <v>7.1533333333333324</v>
      </c>
      <c r="AX79" s="6">
        <f t="shared" si="118"/>
        <v>13.4125</v>
      </c>
      <c r="AY79" s="6">
        <f t="shared" si="119"/>
        <v>2.2712672224984565</v>
      </c>
      <c r="AZ79" s="6"/>
      <c r="BA79" s="181">
        <f t="shared" si="143"/>
        <v>0.6050443379186784</v>
      </c>
      <c r="BB79" s="181">
        <f t="shared" si="120"/>
        <v>0.57857988427345219</v>
      </c>
      <c r="BC79" s="181">
        <f t="shared" si="121"/>
        <v>0.5703979465160498</v>
      </c>
      <c r="BD79" s="181"/>
      <c r="BE79" s="548">
        <f t="shared" si="122"/>
        <v>0.12812752779660816</v>
      </c>
      <c r="BF79" s="548">
        <f t="shared" si="123"/>
        <v>4.2701921103608854E-2</v>
      </c>
      <c r="BG79" s="548">
        <f t="shared" si="124"/>
        <v>1.3508991174820896E-3</v>
      </c>
      <c r="BH79" s="548">
        <f t="shared" si="125"/>
        <v>4.6143843192563523E-3</v>
      </c>
      <c r="BI79">
        <f t="shared" si="126"/>
        <v>3.48E-3</v>
      </c>
      <c r="BJ79" s="474">
        <f t="shared" si="144"/>
        <v>180.27473233695545</v>
      </c>
      <c r="BK79" s="181">
        <f t="shared" si="127"/>
        <v>7.7699999999999991E-2</v>
      </c>
      <c r="BL79" s="181">
        <f t="shared" si="128"/>
        <v>7.7699999999999991E-2</v>
      </c>
      <c r="BM79" s="548"/>
      <c r="BO79" s="474">
        <f t="shared" si="145"/>
        <v>155.39999999999998</v>
      </c>
      <c r="BP79" s="548">
        <f t="shared" si="129"/>
        <v>0</v>
      </c>
      <c r="BQ79" s="548">
        <f t="shared" si="130"/>
        <v>0</v>
      </c>
      <c r="BR79" s="548">
        <f t="shared" si="131"/>
        <v>2.9281843565075377E-2</v>
      </c>
      <c r="BS79" s="548">
        <f t="shared" si="132"/>
        <v>1.5369943545461466E-2</v>
      </c>
      <c r="BT79" s="658">
        <f t="shared" si="133"/>
        <v>0.23858229313851187</v>
      </c>
      <c r="BU79" s="474">
        <f t="shared" si="146"/>
        <v>283.2340802490487</v>
      </c>
      <c r="BV79" s="181">
        <f t="shared" si="147"/>
        <v>0.61890881258600405</v>
      </c>
      <c r="BW79" s="6">
        <f t="shared" si="148"/>
        <v>5.1059999999999999</v>
      </c>
      <c r="BX79" s="181">
        <f t="shared" si="149"/>
        <v>0.89189193525225141</v>
      </c>
      <c r="BY79" s="6">
        <f t="shared" si="150"/>
        <v>89.189193525225136</v>
      </c>
      <c r="BZ79">
        <f t="shared" si="151"/>
        <v>74</v>
      </c>
      <c r="CB79" s="583">
        <f t="shared" si="134"/>
        <v>-50</v>
      </c>
      <c r="CC79">
        <f t="shared" si="135"/>
        <v>-50</v>
      </c>
    </row>
    <row r="80" spans="5:81" x14ac:dyDescent="0.2">
      <c r="E80" s="178">
        <v>75</v>
      </c>
      <c r="F80" s="225">
        <f t="shared" si="152"/>
        <v>0.22499999999999998</v>
      </c>
      <c r="G80" s="225">
        <f t="shared" si="136"/>
        <v>0.22499999999999998</v>
      </c>
      <c r="H80" s="225">
        <f t="shared" si="91"/>
        <v>3.3749999999999996</v>
      </c>
      <c r="I80" s="225">
        <f t="shared" si="153"/>
        <v>1.7999999999999998</v>
      </c>
      <c r="J80" s="561">
        <f t="shared" si="92"/>
        <v>12</v>
      </c>
      <c r="K80" s="456">
        <f t="shared" si="93"/>
        <v>12.951236537694456</v>
      </c>
      <c r="L80" s="456">
        <f t="shared" si="94"/>
        <v>27.25</v>
      </c>
      <c r="M80" s="456"/>
      <c r="N80" s="225">
        <f t="shared" si="95"/>
        <v>0.55963302752293576</v>
      </c>
      <c r="O80" s="180">
        <f t="shared" si="137"/>
        <v>2.8577782209812521</v>
      </c>
      <c r="P80" s="180">
        <f t="shared" si="96"/>
        <v>2.3370275229357795</v>
      </c>
      <c r="Q80" s="225">
        <f t="shared" si="97"/>
        <v>0.19051854806541682</v>
      </c>
      <c r="R80" s="225">
        <f t="shared" si="98"/>
        <v>0.35722227762265651</v>
      </c>
      <c r="S80" s="456">
        <f t="shared" si="99"/>
        <v>12.701236537694456</v>
      </c>
      <c r="T80" s="225">
        <f t="shared" si="100"/>
        <v>1.45</v>
      </c>
      <c r="U80" s="225">
        <f t="shared" si="101"/>
        <v>4.833333333333333</v>
      </c>
      <c r="V80" s="225">
        <f t="shared" si="102"/>
        <v>4.4783368623676614</v>
      </c>
      <c r="W80" s="205">
        <f t="shared" si="103"/>
        <v>350</v>
      </c>
      <c r="X80" s="456">
        <f t="shared" si="138"/>
        <v>107.39211967168676</v>
      </c>
      <c r="Z80" s="225">
        <f t="shared" si="104"/>
        <v>0.44491021006841652</v>
      </c>
      <c r="AA80" s="181">
        <f t="shared" si="105"/>
        <v>1.3741088235814687</v>
      </c>
      <c r="AB80" s="181">
        <f t="shared" si="106"/>
        <v>0.10698713293738681</v>
      </c>
      <c r="AC80" s="181"/>
      <c r="AD80" s="181">
        <f t="shared" si="107"/>
        <v>0.89566737247353223</v>
      </c>
      <c r="AE80" s="565">
        <f t="shared" si="108"/>
        <v>1732.4781337581762</v>
      </c>
      <c r="AF80" s="548">
        <f t="shared" si="109"/>
        <v>4.5455119153031763E-2</v>
      </c>
      <c r="AH80" s="181">
        <f t="shared" si="110"/>
        <v>0.85981725633166606</v>
      </c>
      <c r="AI80" s="181">
        <f t="shared" si="111"/>
        <v>1.45</v>
      </c>
      <c r="AJ80" s="181">
        <f t="shared" si="112"/>
        <v>2.0592592592592593</v>
      </c>
      <c r="AL80" s="565">
        <f t="shared" si="113"/>
        <v>224.99999999999997</v>
      </c>
      <c r="AM80" s="474">
        <f t="shared" si="114"/>
        <v>107.39211967168676</v>
      </c>
      <c r="AO80" t="str">
        <f t="shared" si="139"/>
        <v/>
      </c>
      <c r="AP80" t="str">
        <f t="shared" si="115"/>
        <v/>
      </c>
      <c r="AR80" s="6">
        <f t="shared" si="140"/>
        <v>9.3116701957009944</v>
      </c>
      <c r="AS80" s="6">
        <f t="shared" si="116"/>
        <v>4.833333333333333</v>
      </c>
      <c r="AT80" s="6">
        <f t="shared" si="141"/>
        <v>4.4783368623676614</v>
      </c>
      <c r="AU80" s="181">
        <f t="shared" si="142"/>
        <v>0.51906191174648597</v>
      </c>
      <c r="AW80" s="6">
        <f t="shared" si="117"/>
        <v>7.2499999999999991</v>
      </c>
      <c r="AX80" s="6">
        <f t="shared" si="118"/>
        <v>13.593749999999998</v>
      </c>
      <c r="AY80" s="6">
        <f t="shared" si="119"/>
        <v>2.3324671158164896</v>
      </c>
      <c r="AZ80" s="6"/>
      <c r="BA80" s="181">
        <f t="shared" si="143"/>
        <v>0.60313836705656709</v>
      </c>
      <c r="BB80" s="181">
        <f t="shared" si="120"/>
        <v>0.58056648501069297</v>
      </c>
      <c r="BC80" s="181">
        <f t="shared" si="121"/>
        <v>0.5723564539095316</v>
      </c>
      <c r="BD80" s="181"/>
      <c r="BE80" s="548">
        <f t="shared" si="122"/>
        <v>0.12732156143548179</v>
      </c>
      <c r="BF80" s="548">
        <f t="shared" si="123"/>
        <v>4.2433311285275221E-2</v>
      </c>
      <c r="BG80" s="548">
        <f t="shared" si="124"/>
        <v>1.3424014958960844E-3</v>
      </c>
      <c r="BH80" s="548">
        <f t="shared" si="125"/>
        <v>4.5853582496631464E-3</v>
      </c>
      <c r="BI80">
        <f t="shared" si="126"/>
        <v>3.48E-3</v>
      </c>
      <c r="BJ80" s="474">
        <f t="shared" si="144"/>
        <v>179.16263246631624</v>
      </c>
      <c r="BK80" s="181">
        <f t="shared" si="127"/>
        <v>7.8749999999999987E-2</v>
      </c>
      <c r="BL80" s="181">
        <f t="shared" si="128"/>
        <v>7.8749999999999987E-2</v>
      </c>
      <c r="BM80" s="548"/>
      <c r="BO80" s="474">
        <f t="shared" si="145"/>
        <v>157.49999999999997</v>
      </c>
      <c r="BP80" s="548">
        <f t="shared" si="129"/>
        <v>0</v>
      </c>
      <c r="BQ80" s="548">
        <f t="shared" si="130"/>
        <v>0</v>
      </c>
      <c r="BR80" s="548">
        <f t="shared" si="131"/>
        <v>2.9483271929870439E-2</v>
      </c>
      <c r="BS80" s="548">
        <f t="shared" si="132"/>
        <v>1.5129377036834606E-2</v>
      </c>
      <c r="BT80" s="658">
        <f t="shared" si="133"/>
        <v>0.23708152819020753</v>
      </c>
      <c r="BU80" s="474">
        <f t="shared" si="146"/>
        <v>281.69417715691259</v>
      </c>
      <c r="BV80" s="181">
        <f t="shared" si="147"/>
        <v>0.61835680962322881</v>
      </c>
      <c r="BW80" s="6">
        <f t="shared" si="148"/>
        <v>5.1749999999999989</v>
      </c>
      <c r="BX80" s="181">
        <f t="shared" si="149"/>
        <v>0.89326450451039208</v>
      </c>
      <c r="BY80" s="6">
        <f t="shared" si="150"/>
        <v>89.326450451039207</v>
      </c>
      <c r="BZ80">
        <f t="shared" si="151"/>
        <v>75</v>
      </c>
      <c r="CB80" s="583">
        <f t="shared" si="134"/>
        <v>-50</v>
      </c>
      <c r="CC80">
        <f t="shared" si="135"/>
        <v>-50</v>
      </c>
    </row>
    <row r="81" spans="5:81" x14ac:dyDescent="0.2">
      <c r="E81" s="178">
        <v>76</v>
      </c>
      <c r="F81" s="225">
        <f t="shared" si="152"/>
        <v>0.22799999999999998</v>
      </c>
      <c r="G81" s="225">
        <f t="shared" si="136"/>
        <v>0.22799999999999998</v>
      </c>
      <c r="H81" s="225">
        <f t="shared" si="91"/>
        <v>3.42</v>
      </c>
      <c r="I81" s="225">
        <f t="shared" si="153"/>
        <v>1.8239999999999998</v>
      </c>
      <c r="J81" s="561">
        <f t="shared" si="92"/>
        <v>12</v>
      </c>
      <c r="K81" s="456">
        <f t="shared" si="93"/>
        <v>12.784115004303738</v>
      </c>
      <c r="L81" s="456">
        <f t="shared" si="94"/>
        <v>27.25</v>
      </c>
      <c r="M81" s="456"/>
      <c r="N81" s="225">
        <f t="shared" si="95"/>
        <v>0.55963302752293576</v>
      </c>
      <c r="O81" s="180">
        <f t="shared" si="137"/>
        <v>2.8577782209812521</v>
      </c>
      <c r="P81" s="180">
        <f t="shared" si="96"/>
        <v>2.3370275229357795</v>
      </c>
      <c r="Q81" s="225">
        <f t="shared" si="97"/>
        <v>0.19051854806541682</v>
      </c>
      <c r="R81" s="225">
        <f t="shared" si="98"/>
        <v>0.35722227762265651</v>
      </c>
      <c r="S81" s="456">
        <f t="shared" si="99"/>
        <v>12.534115004303738</v>
      </c>
      <c r="T81" s="225">
        <f t="shared" si="100"/>
        <v>1.45</v>
      </c>
      <c r="U81" s="225">
        <f t="shared" si="101"/>
        <v>4.833333333333333</v>
      </c>
      <c r="V81" s="225">
        <f t="shared" si="102"/>
        <v>4.5368803378626099</v>
      </c>
      <c r="W81" s="205">
        <f t="shared" si="103"/>
        <v>350</v>
      </c>
      <c r="X81" s="456">
        <f t="shared" si="138"/>
        <v>106.72115226934496</v>
      </c>
      <c r="Z81" s="225">
        <f t="shared" si="104"/>
        <v>0.44213048797300042</v>
      </c>
      <c r="AA81" s="181">
        <f t="shared" si="105"/>
        <v>1.3833745638995218</v>
      </c>
      <c r="AB81" s="181">
        <f t="shared" si="106"/>
        <v>0.10703561242260815</v>
      </c>
      <c r="AC81" s="181"/>
      <c r="AD81" s="181">
        <f t="shared" si="107"/>
        <v>0.90737606757252209</v>
      </c>
      <c r="AE81" s="565">
        <f t="shared" si="108"/>
        <v>1732.9240314989604</v>
      </c>
      <c r="AF81" s="548">
        <f t="shared" si="109"/>
        <v>4.6049335429305491E-2</v>
      </c>
      <c r="AH81" s="181">
        <f t="shared" si="110"/>
        <v>0.86553039065237736</v>
      </c>
      <c r="AI81" s="181">
        <f t="shared" si="111"/>
        <v>1.45</v>
      </c>
      <c r="AJ81" s="181">
        <f t="shared" si="112"/>
        <v>2.0592592592592593</v>
      </c>
      <c r="AL81" s="565">
        <f t="shared" si="113"/>
        <v>227.99999999999997</v>
      </c>
      <c r="AM81" s="474">
        <f t="shared" si="114"/>
        <v>106.72115226934496</v>
      </c>
      <c r="AO81" t="str">
        <f t="shared" si="139"/>
        <v/>
      </c>
      <c r="AP81" t="str">
        <f t="shared" si="115"/>
        <v/>
      </c>
      <c r="AR81" s="6">
        <f t="shared" si="140"/>
        <v>9.370213671195943</v>
      </c>
      <c r="AS81" s="6">
        <f t="shared" si="116"/>
        <v>4.833333333333333</v>
      </c>
      <c r="AT81" s="6">
        <f t="shared" si="141"/>
        <v>4.5368803378626099</v>
      </c>
      <c r="AU81" s="181">
        <f t="shared" si="142"/>
        <v>0.51581890263516728</v>
      </c>
      <c r="AW81" s="6">
        <f t="shared" si="117"/>
        <v>7.3466666666666658</v>
      </c>
      <c r="AX81" s="6">
        <f t="shared" si="118"/>
        <v>13.774999999999999</v>
      </c>
      <c r="AY81" s="6">
        <f t="shared" si="119"/>
        <v>2.3944646227608213</v>
      </c>
      <c r="AZ81" s="6"/>
      <c r="BA81" s="181">
        <f t="shared" si="143"/>
        <v>0.60125126272644647</v>
      </c>
      <c r="BB81" s="181">
        <f t="shared" si="120"/>
        <v>0.58252060255684257</v>
      </c>
      <c r="BC81" s="181">
        <f t="shared" si="121"/>
        <v>0.57428293747018011</v>
      </c>
      <c r="BD81" s="181"/>
      <c r="BE81" s="548">
        <f t="shared" si="122"/>
        <v>0.12652607832555124</v>
      </c>
      <c r="BF81" s="548">
        <f t="shared" si="123"/>
        <v>4.2168195290424919E-2</v>
      </c>
      <c r="BG81" s="548">
        <f t="shared" si="124"/>
        <v>1.3340144033668119E-3</v>
      </c>
      <c r="BH81" s="548">
        <f t="shared" si="125"/>
        <v>4.556709723840314E-3</v>
      </c>
      <c r="BI81">
        <f t="shared" si="126"/>
        <v>3.48E-3</v>
      </c>
      <c r="BJ81" s="474">
        <f t="shared" si="144"/>
        <v>178.06499774318328</v>
      </c>
      <c r="BK81" s="181">
        <f t="shared" si="127"/>
        <v>7.9799999999999982E-2</v>
      </c>
      <c r="BL81" s="181">
        <f t="shared" si="128"/>
        <v>7.9799999999999982E-2</v>
      </c>
      <c r="BM81" s="548"/>
      <c r="BO81" s="474">
        <f t="shared" si="145"/>
        <v>159.59999999999997</v>
      </c>
      <c r="BP81" s="548">
        <f t="shared" si="129"/>
        <v>0</v>
      </c>
      <c r="BQ81" s="548">
        <f t="shared" si="130"/>
        <v>0</v>
      </c>
      <c r="BR81" s="548">
        <f t="shared" si="131"/>
        <v>2.9682080304244091E-2</v>
      </c>
      <c r="BS81" s="548">
        <f t="shared" si="132"/>
        <v>1.4894168889170178E-2</v>
      </c>
      <c r="BT81" s="658">
        <f t="shared" si="133"/>
        <v>0.2356002837786127</v>
      </c>
      <c r="BU81" s="474">
        <f t="shared" si="146"/>
        <v>280.17653297202696</v>
      </c>
      <c r="BV81" s="181">
        <f t="shared" si="147"/>
        <v>0.6178415307152102</v>
      </c>
      <c r="BW81" s="6">
        <f t="shared" si="148"/>
        <v>5.1948057439170316</v>
      </c>
      <c r="BX81" s="181">
        <f t="shared" si="149"/>
        <v>0.8937073760846258</v>
      </c>
      <c r="BY81" s="6">
        <f t="shared" si="150"/>
        <v>89.370737608462576</v>
      </c>
      <c r="BZ81">
        <f t="shared" si="151"/>
        <v>76</v>
      </c>
      <c r="CB81" s="583">
        <f t="shared" si="134"/>
        <v>-50</v>
      </c>
      <c r="CC81">
        <f t="shared" si="135"/>
        <v>-50</v>
      </c>
    </row>
    <row r="82" spans="5:81" x14ac:dyDescent="0.2">
      <c r="E82" s="178">
        <v>77</v>
      </c>
      <c r="F82" s="225">
        <f t="shared" si="152"/>
        <v>0.23099999999999998</v>
      </c>
      <c r="G82" s="225">
        <f t="shared" si="136"/>
        <v>0.23099999999999998</v>
      </c>
      <c r="H82" s="225">
        <f t="shared" si="91"/>
        <v>3.4649999999999999</v>
      </c>
      <c r="I82" s="225">
        <f t="shared" si="153"/>
        <v>1.8479999999999999</v>
      </c>
      <c r="J82" s="561">
        <f t="shared" si="92"/>
        <v>12</v>
      </c>
      <c r="K82" s="456">
        <f t="shared" si="93"/>
        <v>12.621334289962132</v>
      </c>
      <c r="L82" s="456">
        <f t="shared" si="94"/>
        <v>27.25</v>
      </c>
      <c r="M82" s="456"/>
      <c r="N82" s="225">
        <f t="shared" si="95"/>
        <v>0.55963302752293576</v>
      </c>
      <c r="O82" s="180">
        <f t="shared" si="137"/>
        <v>2.8577782209812521</v>
      </c>
      <c r="P82" s="180">
        <f t="shared" si="96"/>
        <v>2.3370275229357795</v>
      </c>
      <c r="Q82" s="225">
        <f t="shared" si="97"/>
        <v>0.19051854806541682</v>
      </c>
      <c r="R82" s="225">
        <f t="shared" si="98"/>
        <v>0.35722227762265651</v>
      </c>
      <c r="S82" s="456">
        <f t="shared" si="99"/>
        <v>12.371334289962132</v>
      </c>
      <c r="T82" s="225">
        <f t="shared" si="100"/>
        <v>1.45</v>
      </c>
      <c r="U82" s="225">
        <f t="shared" si="101"/>
        <v>4.833333333333333</v>
      </c>
      <c r="V82" s="225">
        <f t="shared" si="102"/>
        <v>4.5953936935279467</v>
      </c>
      <c r="W82" s="205">
        <f t="shared" si="103"/>
        <v>350</v>
      </c>
      <c r="X82" s="456">
        <f t="shared" si="138"/>
        <v>106.05885578733198</v>
      </c>
      <c r="Z82" s="225">
        <f t="shared" si="104"/>
        <v>0.43938668826180388</v>
      </c>
      <c r="AA82" s="181">
        <f t="shared" si="105"/>
        <v>1.3925205629368438</v>
      </c>
      <c r="AB82" s="181">
        <f t="shared" si="106"/>
        <v>0.10707462473492448</v>
      </c>
      <c r="AC82" s="181"/>
      <c r="AD82" s="181">
        <f t="shared" si="107"/>
        <v>0.91907873870558932</v>
      </c>
      <c r="AE82" s="565">
        <f t="shared" si="108"/>
        <v>1733.3699292397455</v>
      </c>
      <c r="AF82" s="548">
        <f t="shared" si="109"/>
        <v>4.6643245989308663E-2</v>
      </c>
      <c r="AH82" s="181">
        <f t="shared" si="110"/>
        <v>0.87120606058498007</v>
      </c>
      <c r="AI82" s="181">
        <f t="shared" si="111"/>
        <v>1.45</v>
      </c>
      <c r="AJ82" s="181">
        <f t="shared" si="112"/>
        <v>2.0592592592592593</v>
      </c>
      <c r="AL82" s="565">
        <f t="shared" si="113"/>
        <v>230.99999999999997</v>
      </c>
      <c r="AM82" s="474">
        <f t="shared" si="114"/>
        <v>106.05885578733198</v>
      </c>
      <c r="AO82" t="str">
        <f t="shared" si="139"/>
        <v/>
      </c>
      <c r="AP82" t="str">
        <f t="shared" si="115"/>
        <v/>
      </c>
      <c r="AR82" s="6">
        <f t="shared" si="140"/>
        <v>9.4287270268612797</v>
      </c>
      <c r="AS82" s="6">
        <f t="shared" si="116"/>
        <v>4.833333333333333</v>
      </c>
      <c r="AT82" s="6">
        <f t="shared" si="141"/>
        <v>4.5953936935279467</v>
      </c>
      <c r="AU82" s="181">
        <f t="shared" si="142"/>
        <v>0.51261780297210457</v>
      </c>
      <c r="AW82" s="6">
        <f t="shared" si="117"/>
        <v>7.4433333333333325</v>
      </c>
      <c r="AX82" s="6">
        <f t="shared" si="118"/>
        <v>13.956249999999999</v>
      </c>
      <c r="AY82" s="6">
        <f t="shared" si="119"/>
        <v>2.4572591277892486</v>
      </c>
      <c r="AZ82" s="6"/>
      <c r="BA82" s="181">
        <f t="shared" si="143"/>
        <v>0.59938271878904714</v>
      </c>
      <c r="BB82" s="181">
        <f t="shared" si="120"/>
        <v>0.58444305945950237</v>
      </c>
      <c r="BC82" s="181">
        <f t="shared" si="121"/>
        <v>0.57617820811361042</v>
      </c>
      <c r="BD82" s="181"/>
      <c r="BE82" s="548">
        <f t="shared" si="122"/>
        <v>0.12574087525403249</v>
      </c>
      <c r="BF82" s="548">
        <f t="shared" si="123"/>
        <v>4.1906505392969549E-2</v>
      </c>
      <c r="BG82" s="548">
        <f t="shared" si="124"/>
        <v>1.3257356973416497E-3</v>
      </c>
      <c r="BH82" s="548">
        <f t="shared" si="125"/>
        <v>4.5284314232833904E-3</v>
      </c>
      <c r="BI82">
        <f t="shared" si="126"/>
        <v>3.48E-3</v>
      </c>
      <c r="BJ82" s="474">
        <f t="shared" si="144"/>
        <v>176.98154776762709</v>
      </c>
      <c r="BK82" s="181">
        <f t="shared" si="127"/>
        <v>8.0849999999999991E-2</v>
      </c>
      <c r="BL82" s="181">
        <f t="shared" si="128"/>
        <v>8.0849999999999991E-2</v>
      </c>
      <c r="BM82" s="548"/>
      <c r="BO82" s="474">
        <f t="shared" si="145"/>
        <v>161.69999999999999</v>
      </c>
      <c r="BP82" s="548">
        <f t="shared" si="129"/>
        <v>0</v>
      </c>
      <c r="BQ82" s="548">
        <f t="shared" si="130"/>
        <v>0</v>
      </c>
      <c r="BR82" s="548">
        <f t="shared" si="131"/>
        <v>2.9878319475450985E-2</v>
      </c>
      <c r="BS82" s="548">
        <f t="shared" si="132"/>
        <v>1.4664165502553136E-2</v>
      </c>
      <c r="BT82" s="658">
        <f t="shared" si="133"/>
        <v>0.23413818150750879</v>
      </c>
      <c r="BU82" s="474">
        <f t="shared" si="146"/>
        <v>278.68066648551292</v>
      </c>
      <c r="BV82" s="181">
        <f t="shared" si="147"/>
        <v>0.61736221425313997</v>
      </c>
      <c r="BW82" s="6">
        <f t="shared" si="148"/>
        <v>5.1948057439170316</v>
      </c>
      <c r="BX82" s="181">
        <f t="shared" si="149"/>
        <v>0.89378107812846097</v>
      </c>
      <c r="BY82" s="6">
        <f t="shared" si="150"/>
        <v>89.378107812846096</v>
      </c>
      <c r="BZ82">
        <f t="shared" si="151"/>
        <v>77</v>
      </c>
      <c r="CB82" s="583">
        <f t="shared" si="134"/>
        <v>-50</v>
      </c>
      <c r="CC82">
        <f t="shared" si="135"/>
        <v>-50</v>
      </c>
    </row>
    <row r="83" spans="5:81" x14ac:dyDescent="0.2">
      <c r="E83" s="178">
        <v>78</v>
      </c>
      <c r="F83" s="225">
        <f t="shared" si="152"/>
        <v>0.23399999999999999</v>
      </c>
      <c r="G83" s="225">
        <f t="shared" si="136"/>
        <v>0.23399999999999999</v>
      </c>
      <c r="H83" s="225">
        <f t="shared" si="91"/>
        <v>3.51</v>
      </c>
      <c r="I83" s="225">
        <f t="shared" si="153"/>
        <v>1.8719999999999999</v>
      </c>
      <c r="J83" s="561">
        <f t="shared" si="92"/>
        <v>12</v>
      </c>
      <c r="K83" s="456">
        <f t="shared" si="93"/>
        <v>12.462727440090822</v>
      </c>
      <c r="L83" s="456">
        <f t="shared" si="94"/>
        <v>27.25</v>
      </c>
      <c r="M83" s="456"/>
      <c r="N83" s="225">
        <f t="shared" si="95"/>
        <v>0.55963302752293576</v>
      </c>
      <c r="O83" s="180">
        <f t="shared" si="137"/>
        <v>2.8577782209812521</v>
      </c>
      <c r="P83" s="180">
        <f t="shared" si="96"/>
        <v>2.3370275229357795</v>
      </c>
      <c r="Q83" s="225">
        <f t="shared" si="97"/>
        <v>0.19051854806541682</v>
      </c>
      <c r="R83" s="225">
        <f t="shared" si="98"/>
        <v>0.35722227762265651</v>
      </c>
      <c r="S83" s="456">
        <f t="shared" si="99"/>
        <v>12.212727440090822</v>
      </c>
      <c r="T83" s="225">
        <f t="shared" si="100"/>
        <v>1.45</v>
      </c>
      <c r="U83" s="225">
        <f t="shared" si="101"/>
        <v>4.833333333333333</v>
      </c>
      <c r="V83" s="225">
        <f t="shared" si="102"/>
        <v>4.6538769526020642</v>
      </c>
      <c r="W83" s="205">
        <f t="shared" si="103"/>
        <v>350</v>
      </c>
      <c r="X83" s="456">
        <f t="shared" si="138"/>
        <v>105.40506322311421</v>
      </c>
      <c r="Z83" s="225">
        <f t="shared" si="104"/>
        <v>0.43667811906718734</v>
      </c>
      <c r="AA83" s="181">
        <f t="shared" si="105"/>
        <v>1.4015491269188989</v>
      </c>
      <c r="AB83" s="181">
        <f t="shared" si="106"/>
        <v>0.1071045213915606</v>
      </c>
      <c r="AC83" s="181"/>
      <c r="AD83" s="181">
        <f t="shared" si="107"/>
        <v>0.93077539052041292</v>
      </c>
      <c r="AE83" s="565">
        <f t="shared" si="108"/>
        <v>1733.8158269805306</v>
      </c>
      <c r="AF83" s="548">
        <f t="shared" si="109"/>
        <v>4.7236851068910957E-2</v>
      </c>
      <c r="AH83" s="181">
        <f t="shared" si="110"/>
        <v>0.87684499363179502</v>
      </c>
      <c r="AI83" s="181">
        <f t="shared" si="111"/>
        <v>1.45</v>
      </c>
      <c r="AJ83" s="181">
        <f t="shared" si="112"/>
        <v>2.0592592592592593</v>
      </c>
      <c r="AL83" s="565">
        <f t="shared" si="113"/>
        <v>234</v>
      </c>
      <c r="AM83" s="474">
        <f t="shared" si="114"/>
        <v>105.40506322311421</v>
      </c>
      <c r="AO83" t="str">
        <f t="shared" si="139"/>
        <v/>
      </c>
      <c r="AP83" t="str">
        <f t="shared" si="115"/>
        <v/>
      </c>
      <c r="AR83" s="6">
        <f t="shared" si="140"/>
        <v>9.4872102859353973</v>
      </c>
      <c r="AS83" s="6">
        <f t="shared" si="116"/>
        <v>4.833333333333333</v>
      </c>
      <c r="AT83" s="6">
        <f t="shared" si="141"/>
        <v>4.6538769526020642</v>
      </c>
      <c r="AU83" s="181">
        <f t="shared" si="142"/>
        <v>0.50945780557838527</v>
      </c>
      <c r="AW83" s="6">
        <f t="shared" si="117"/>
        <v>7.5399999999999991</v>
      </c>
      <c r="AX83" s="6">
        <f t="shared" si="118"/>
        <v>14.137499999999998</v>
      </c>
      <c r="AY83" s="6">
        <f t="shared" si="119"/>
        <v>2.5208500159927842</v>
      </c>
      <c r="AZ83" s="6"/>
      <c r="BA83" s="181">
        <f t="shared" si="143"/>
        <v>0.5975324360034231</v>
      </c>
      <c r="BB83" s="181">
        <f t="shared" si="120"/>
        <v>0.58633464954507697</v>
      </c>
      <c r="BC83" s="181">
        <f t="shared" si="121"/>
        <v>0.57804304844039911</v>
      </c>
      <c r="BD83" s="181"/>
      <c r="BE83" s="548">
        <f t="shared" si="122"/>
        <v>0.12496575422666473</v>
      </c>
      <c r="BF83" s="548">
        <f t="shared" si="123"/>
        <v>4.1648175606033004E-2</v>
      </c>
      <c r="BG83" s="548">
        <f t="shared" si="124"/>
        <v>1.3175632902889276E-3</v>
      </c>
      <c r="BH83" s="548">
        <f t="shared" si="125"/>
        <v>4.5005162174277897E-3</v>
      </c>
      <c r="BI83">
        <f t="shared" si="126"/>
        <v>3.48E-3</v>
      </c>
      <c r="BJ83" s="474">
        <f t="shared" si="144"/>
        <v>175.91200934041444</v>
      </c>
      <c r="BK83" s="181">
        <f t="shared" si="127"/>
        <v>8.1899999999999987E-2</v>
      </c>
      <c r="BL83" s="181">
        <f t="shared" si="128"/>
        <v>8.1899999999999987E-2</v>
      </c>
      <c r="BM83" s="548"/>
      <c r="BO83" s="474">
        <f t="shared" si="145"/>
        <v>163.79999999999998</v>
      </c>
      <c r="BP83" s="548">
        <f t="shared" si="129"/>
        <v>0</v>
      </c>
      <c r="BQ83" s="548">
        <f t="shared" si="130"/>
        <v>0</v>
      </c>
      <c r="BR83" s="548">
        <f t="shared" si="131"/>
        <v>3.0072038926524262E-2</v>
      </c>
      <c r="BS83" s="548">
        <f t="shared" si="132"/>
        <v>1.4439218642257438E-2</v>
      </c>
      <c r="BT83" s="658">
        <f t="shared" si="133"/>
        <v>0.23269485269792756</v>
      </c>
      <c r="BU83" s="474">
        <f t="shared" si="146"/>
        <v>277.20611026670929</v>
      </c>
      <c r="BV83" s="181">
        <f t="shared" si="147"/>
        <v>0.61691811960712362</v>
      </c>
      <c r="BW83" s="6">
        <f t="shared" si="148"/>
        <v>5.1948057439170316</v>
      </c>
      <c r="BX83" s="181">
        <f t="shared" si="149"/>
        <v>0.89384937514339646</v>
      </c>
      <c r="BY83" s="6">
        <f t="shared" si="150"/>
        <v>89.38493751433964</v>
      </c>
      <c r="BZ83">
        <f t="shared" si="151"/>
        <v>78</v>
      </c>
      <c r="CB83" s="583">
        <f t="shared" si="134"/>
        <v>-50</v>
      </c>
      <c r="CC83">
        <f t="shared" si="135"/>
        <v>-50</v>
      </c>
    </row>
    <row r="84" spans="5:81" x14ac:dyDescent="0.2">
      <c r="E84" s="178">
        <v>79</v>
      </c>
      <c r="F84" s="225">
        <f t="shared" si="152"/>
        <v>0.23699999999999999</v>
      </c>
      <c r="G84" s="225">
        <f t="shared" si="136"/>
        <v>0.23699999999999999</v>
      </c>
      <c r="H84" s="225">
        <f t="shared" si="91"/>
        <v>3.5549999999999997</v>
      </c>
      <c r="I84" s="225">
        <f t="shared" si="153"/>
        <v>1.8959999999999999</v>
      </c>
      <c r="J84" s="561">
        <f t="shared" si="92"/>
        <v>12</v>
      </c>
      <c r="K84" s="456">
        <f t="shared" si="93"/>
        <v>12.308135953507394</v>
      </c>
      <c r="L84" s="456">
        <f t="shared" si="94"/>
        <v>27.25</v>
      </c>
      <c r="M84" s="456"/>
      <c r="N84" s="225">
        <f t="shared" si="95"/>
        <v>0.55963302752293576</v>
      </c>
      <c r="O84" s="180">
        <f t="shared" si="137"/>
        <v>2.8577782209812521</v>
      </c>
      <c r="P84" s="180">
        <f t="shared" si="96"/>
        <v>2.3370275229357795</v>
      </c>
      <c r="Q84" s="225">
        <f t="shared" si="97"/>
        <v>0.19051854806541682</v>
      </c>
      <c r="R84" s="225">
        <f t="shared" si="98"/>
        <v>0.35722227762265651</v>
      </c>
      <c r="S84" s="456">
        <f t="shared" si="99"/>
        <v>12.058135953507394</v>
      </c>
      <c r="T84" s="225">
        <f t="shared" si="100"/>
        <v>1.45</v>
      </c>
      <c r="U84" s="225">
        <f t="shared" si="101"/>
        <v>4.833333333333333</v>
      </c>
      <c r="V84" s="225">
        <f t="shared" si="102"/>
        <v>4.7123301382994551</v>
      </c>
      <c r="W84" s="205">
        <f t="shared" si="103"/>
        <v>350</v>
      </c>
      <c r="X84" s="456">
        <f t="shared" si="138"/>
        <v>104.75961183544109</v>
      </c>
      <c r="Z84" s="225">
        <f t="shared" si="104"/>
        <v>0.43400410617539875</v>
      </c>
      <c r="AA84" s="181">
        <f t="shared" si="105"/>
        <v>1.4104625032248612</v>
      </c>
      <c r="AB84" s="181">
        <f t="shared" si="106"/>
        <v>0.10712564065105375</v>
      </c>
      <c r="AC84" s="181"/>
      <c r="AD84" s="181">
        <f t="shared" si="107"/>
        <v>0.94246602765989118</v>
      </c>
      <c r="AE84" s="565">
        <f t="shared" si="108"/>
        <v>1734.2617247213152</v>
      </c>
      <c r="AF84" s="548">
        <f t="shared" si="109"/>
        <v>4.7830150903739467E-2</v>
      </c>
      <c r="AH84" s="181">
        <f t="shared" si="110"/>
        <v>0.88244789405056978</v>
      </c>
      <c r="AI84" s="181">
        <f t="shared" si="111"/>
        <v>1.45</v>
      </c>
      <c r="AJ84" s="181">
        <f t="shared" si="112"/>
        <v>2.0592592592592593</v>
      </c>
      <c r="AL84" s="565">
        <f t="shared" si="113"/>
        <v>237</v>
      </c>
      <c r="AM84" s="474">
        <f t="shared" si="114"/>
        <v>104.75961183544109</v>
      </c>
      <c r="AO84" t="str">
        <f t="shared" si="139"/>
        <v/>
      </c>
      <c r="AP84" t="str">
        <f t="shared" si="115"/>
        <v/>
      </c>
      <c r="AR84" s="6">
        <f t="shared" si="140"/>
        <v>9.5456634716327891</v>
      </c>
      <c r="AS84" s="6">
        <f t="shared" si="116"/>
        <v>4.833333333333333</v>
      </c>
      <c r="AT84" s="6">
        <f t="shared" si="141"/>
        <v>4.712330138299456</v>
      </c>
      <c r="AU84" s="181">
        <f t="shared" si="142"/>
        <v>0.50633812387129862</v>
      </c>
      <c r="AW84" s="6">
        <f t="shared" si="117"/>
        <v>7.6366666666666667</v>
      </c>
      <c r="AX84" s="6">
        <f t="shared" si="118"/>
        <v>14.31875</v>
      </c>
      <c r="AY84" s="6">
        <f t="shared" si="119"/>
        <v>2.58523667309484</v>
      </c>
      <c r="AZ84" s="6"/>
      <c r="BA84" s="181">
        <f t="shared" si="143"/>
        <v>0.5957001218284822</v>
      </c>
      <c r="BB84" s="181">
        <f t="shared" si="120"/>
        <v>0.58819613921451819</v>
      </c>
      <c r="BC84" s="181">
        <f t="shared" si="121"/>
        <v>0.57987821401350481</v>
      </c>
      <c r="BD84" s="181"/>
      <c r="BE84" s="548">
        <f t="shared" si="122"/>
        <v>0.12420052230126398</v>
      </c>
      <c r="BF84" s="548">
        <f t="shared" si="123"/>
        <v>4.1393141626478655E-2</v>
      </c>
      <c r="BG84" s="548">
        <f t="shared" si="124"/>
        <v>1.3094951479430137E-3</v>
      </c>
      <c r="BH84" s="548">
        <f t="shared" si="125"/>
        <v>4.4729571576543961E-3</v>
      </c>
      <c r="BI84">
        <f t="shared" si="126"/>
        <v>3.48E-3</v>
      </c>
      <c r="BJ84" s="474">
        <f t="shared" si="144"/>
        <v>174.85611623334006</v>
      </c>
      <c r="BK84" s="181">
        <f t="shared" si="127"/>
        <v>8.2949999999999996E-2</v>
      </c>
      <c r="BL84" s="181">
        <f t="shared" si="128"/>
        <v>8.2949999999999996E-2</v>
      </c>
      <c r="BM84" s="548"/>
      <c r="BO84" s="474">
        <f t="shared" si="145"/>
        <v>165.9</v>
      </c>
      <c r="BP84" s="548">
        <f t="shared" si="129"/>
        <v>0</v>
      </c>
      <c r="BQ84" s="548">
        <f t="shared" si="130"/>
        <v>0</v>
      </c>
      <c r="BR84" s="548">
        <f t="shared" si="131"/>
        <v>3.0263286877874288E-2</v>
      </c>
      <c r="BS84" s="548">
        <f t="shared" si="132"/>
        <v>1.421918521827221E-2</v>
      </c>
      <c r="BT84" s="658">
        <f t="shared" si="133"/>
        <v>0.23126993807821566</v>
      </c>
      <c r="BU84" s="474">
        <f t="shared" si="146"/>
        <v>275.75241017436213</v>
      </c>
      <c r="BV84" s="181">
        <f t="shared" si="147"/>
        <v>0.61650852640770215</v>
      </c>
      <c r="BW84" s="6">
        <f t="shared" si="148"/>
        <v>5.1948057439170316</v>
      </c>
      <c r="BX84" s="181">
        <f t="shared" si="149"/>
        <v>0.89391237545766877</v>
      </c>
      <c r="BY84" s="6">
        <f t="shared" si="150"/>
        <v>89.39123754576687</v>
      </c>
      <c r="BZ84">
        <f t="shared" si="151"/>
        <v>79</v>
      </c>
      <c r="CB84" s="583">
        <f t="shared" si="134"/>
        <v>-50</v>
      </c>
      <c r="CC84">
        <f t="shared" si="135"/>
        <v>-50</v>
      </c>
    </row>
    <row r="85" spans="5:81" x14ac:dyDescent="0.2">
      <c r="E85" s="178">
        <v>80</v>
      </c>
      <c r="F85" s="225">
        <f t="shared" si="152"/>
        <v>0.24</v>
      </c>
      <c r="G85" s="225">
        <f t="shared" si="136"/>
        <v>0.24</v>
      </c>
      <c r="H85" s="225">
        <f t="shared" si="91"/>
        <v>3.5999999999999996</v>
      </c>
      <c r="I85" s="225">
        <f t="shared" si="153"/>
        <v>1.92</v>
      </c>
      <c r="J85" s="561">
        <f t="shared" si="92"/>
        <v>12</v>
      </c>
      <c r="K85" s="456">
        <f t="shared" si="93"/>
        <v>12.157409254088551</v>
      </c>
      <c r="L85" s="456">
        <f t="shared" si="94"/>
        <v>27.25</v>
      </c>
      <c r="M85" s="456"/>
      <c r="N85" s="225">
        <f t="shared" si="95"/>
        <v>0.55963302752293576</v>
      </c>
      <c r="O85" s="180">
        <f t="shared" si="137"/>
        <v>2.8577782209812521</v>
      </c>
      <c r="P85" s="180">
        <f t="shared" si="96"/>
        <v>2.3370275229357795</v>
      </c>
      <c r="Q85" s="225">
        <f t="shared" si="97"/>
        <v>0.19051854806541682</v>
      </c>
      <c r="R85" s="225">
        <f t="shared" si="98"/>
        <v>0.35722227762265651</v>
      </c>
      <c r="S85" s="456">
        <f t="shared" si="99"/>
        <v>11.907409254088551</v>
      </c>
      <c r="T85" s="225">
        <f t="shared" si="100"/>
        <v>1.45</v>
      </c>
      <c r="U85" s="225">
        <f t="shared" si="101"/>
        <v>4.833333333333333</v>
      </c>
      <c r="V85" s="225">
        <f t="shared" si="102"/>
        <v>4.7707532738107448</v>
      </c>
      <c r="W85" s="205">
        <f t="shared" si="103"/>
        <v>350</v>
      </c>
      <c r="X85" s="456">
        <f t="shared" si="138"/>
        <v>104.12234300929168</v>
      </c>
      <c r="Z85" s="225">
        <f t="shared" si="104"/>
        <v>0.43136399246706547</v>
      </c>
      <c r="AA85" s="181">
        <f t="shared" si="105"/>
        <v>1.419262882252639</v>
      </c>
      <c r="AB85" s="181">
        <f t="shared" si="106"/>
        <v>0.10713830806854227</v>
      </c>
      <c r="AC85" s="181"/>
      <c r="AD85" s="181">
        <f t="shared" si="107"/>
        <v>0.95415065476214911</v>
      </c>
      <c r="AE85" s="565">
        <f t="shared" si="108"/>
        <v>1734.7076224621001</v>
      </c>
      <c r="AF85" s="548">
        <f t="shared" si="109"/>
        <v>4.8423145729179058E-2</v>
      </c>
      <c r="AH85" s="181">
        <f t="shared" si="110"/>
        <v>0.88801544388114573</v>
      </c>
      <c r="AI85" s="181">
        <f t="shared" si="111"/>
        <v>1.45</v>
      </c>
      <c r="AJ85" s="181">
        <f t="shared" si="112"/>
        <v>2.0592592592592593</v>
      </c>
      <c r="AL85" s="565">
        <f t="shared" si="113"/>
        <v>240</v>
      </c>
      <c r="AM85" s="474">
        <f t="shared" si="114"/>
        <v>104.12234300929168</v>
      </c>
      <c r="AO85" t="str">
        <f t="shared" si="139"/>
        <v/>
      </c>
      <c r="AP85" t="str">
        <f t="shared" si="115"/>
        <v/>
      </c>
      <c r="AR85" s="6">
        <f t="shared" si="140"/>
        <v>9.6040866071440778</v>
      </c>
      <c r="AS85" s="6">
        <f t="shared" si="116"/>
        <v>4.833333333333333</v>
      </c>
      <c r="AT85" s="6">
        <f t="shared" si="141"/>
        <v>4.7707532738107448</v>
      </c>
      <c r="AU85" s="181">
        <f t="shared" si="142"/>
        <v>0.50325799121157644</v>
      </c>
      <c r="AW85" s="6">
        <f t="shared" si="117"/>
        <v>7.7333333333333325</v>
      </c>
      <c r="AX85" s="6">
        <f t="shared" si="118"/>
        <v>14.499999999999998</v>
      </c>
      <c r="AY85" s="6">
        <f t="shared" si="119"/>
        <v>2.6504184854504129</v>
      </c>
      <c r="AZ85" s="6"/>
      <c r="BA85" s="181">
        <f t="shared" si="143"/>
        <v>0.59388549023144732</v>
      </c>
      <c r="BB85" s="181">
        <f t="shared" si="120"/>
        <v>0.59002826866675362</v>
      </c>
      <c r="BC85" s="181">
        <f t="shared" si="121"/>
        <v>0.58168443456439556</v>
      </c>
      <c r="BD85" s="181"/>
      <c r="BE85" s="548">
        <f t="shared" si="122"/>
        <v>0.12344499142760627</v>
      </c>
      <c r="BF85" s="548">
        <f t="shared" si="123"/>
        <v>4.1141340781546368E-2</v>
      </c>
      <c r="BG85" s="548">
        <f t="shared" si="124"/>
        <v>1.301529287616146E-3</v>
      </c>
      <c r="BH85" s="548">
        <f t="shared" si="125"/>
        <v>4.4457474715231364E-3</v>
      </c>
      <c r="BI85">
        <f t="shared" si="126"/>
        <v>3.48E-3</v>
      </c>
      <c r="BJ85" s="474">
        <f t="shared" si="144"/>
        <v>173.81360896829193</v>
      </c>
      <c r="BK85" s="181">
        <f t="shared" si="127"/>
        <v>8.3999999999999991E-2</v>
      </c>
      <c r="BL85" s="181">
        <f t="shared" si="128"/>
        <v>8.3999999999999991E-2</v>
      </c>
      <c r="BM85" s="548"/>
      <c r="BO85" s="474">
        <f t="shared" si="145"/>
        <v>167.99999999999997</v>
      </c>
      <c r="BP85" s="548">
        <f t="shared" si="129"/>
        <v>0</v>
      </c>
      <c r="BQ85" s="548">
        <f t="shared" si="130"/>
        <v>0</v>
      </c>
      <c r="BR85" s="548">
        <f t="shared" si="131"/>
        <v>3.0452110327305052E-2</v>
      </c>
      <c r="BS85" s="548">
        <f t="shared" si="132"/>
        <v>1.400392707522711E-2</v>
      </c>
      <c r="BT85" s="658">
        <f t="shared" si="133"/>
        <v>0.22986308748588757</v>
      </c>
      <c r="BU85" s="474">
        <f t="shared" si="146"/>
        <v>274.31912488841976</v>
      </c>
      <c r="BV85" s="181">
        <f t="shared" si="147"/>
        <v>0.61613273385671175</v>
      </c>
      <c r="BW85" s="6">
        <f t="shared" si="148"/>
        <v>5.1948057439170316</v>
      </c>
      <c r="BX85" s="181">
        <f t="shared" si="149"/>
        <v>0.89397018464171363</v>
      </c>
      <c r="BY85" s="6">
        <f t="shared" si="150"/>
        <v>89.397018464171367</v>
      </c>
      <c r="BZ85">
        <f t="shared" si="151"/>
        <v>80</v>
      </c>
      <c r="CB85" s="583">
        <f t="shared" si="134"/>
        <v>-50</v>
      </c>
      <c r="CC85">
        <f t="shared" si="135"/>
        <v>-50</v>
      </c>
    </row>
    <row r="86" spans="5:81" x14ac:dyDescent="0.2">
      <c r="E86" s="178">
        <v>81</v>
      </c>
      <c r="F86" s="225">
        <f t="shared" si="152"/>
        <v>0.24299999999999999</v>
      </c>
      <c r="G86" s="225">
        <f t="shared" si="136"/>
        <v>0.24299999999999999</v>
      </c>
      <c r="H86" s="225">
        <f t="shared" si="91"/>
        <v>3.645</v>
      </c>
      <c r="I86" s="225">
        <f t="shared" si="153"/>
        <v>1.944</v>
      </c>
      <c r="J86" s="561">
        <f t="shared" si="92"/>
        <v>12</v>
      </c>
      <c r="K86" s="456">
        <f t="shared" si="93"/>
        <v>12.010404201568939</v>
      </c>
      <c r="L86" s="456">
        <f t="shared" si="94"/>
        <v>27.25</v>
      </c>
      <c r="M86" s="456"/>
      <c r="N86" s="225">
        <f t="shared" si="95"/>
        <v>0.55963302752293576</v>
      </c>
      <c r="O86" s="180">
        <f t="shared" si="137"/>
        <v>2.8577782209812521</v>
      </c>
      <c r="P86" s="180">
        <f t="shared" si="96"/>
        <v>2.3370275229357795</v>
      </c>
      <c r="Q86" s="225">
        <f t="shared" si="97"/>
        <v>0.19051854806541682</v>
      </c>
      <c r="R86" s="225">
        <f t="shared" si="98"/>
        <v>0.35722227762265651</v>
      </c>
      <c r="S86" s="456">
        <f t="shared" si="99"/>
        <v>11.760404201568939</v>
      </c>
      <c r="T86" s="225">
        <f t="shared" si="100"/>
        <v>1.45</v>
      </c>
      <c r="U86" s="225">
        <f t="shared" si="101"/>
        <v>4.833333333333333</v>
      </c>
      <c r="V86" s="225">
        <f t="shared" si="102"/>
        <v>4.8291463823027181</v>
      </c>
      <c r="W86" s="205">
        <f t="shared" si="103"/>
        <v>350</v>
      </c>
      <c r="X86" s="456">
        <f t="shared" si="138"/>
        <v>103.49310212592493</v>
      </c>
      <c r="Z86" s="225">
        <f t="shared" si="104"/>
        <v>0.42875713737883181</v>
      </c>
      <c r="AA86" s="181">
        <f t="shared" si="105"/>
        <v>1.4279523992134175</v>
      </c>
      <c r="AB86" s="181">
        <f t="shared" si="106"/>
        <v>0.10714283702499645</v>
      </c>
      <c r="AC86" s="181"/>
      <c r="AD86" s="181">
        <f t="shared" si="107"/>
        <v>0.96582927646054351</v>
      </c>
      <c r="AE86" s="565">
        <f t="shared" si="108"/>
        <v>1735.1535202028849</v>
      </c>
      <c r="AF86" s="548">
        <f t="shared" si="109"/>
        <v>4.9015835780372573E-2</v>
      </c>
      <c r="AH86" s="181">
        <f t="shared" si="110"/>
        <v>0.89354830391455131</v>
      </c>
      <c r="AI86" s="181">
        <f t="shared" si="111"/>
        <v>1.45</v>
      </c>
      <c r="AJ86" s="181">
        <f t="shared" si="112"/>
        <v>2.0592592592592593</v>
      </c>
      <c r="AL86" s="565">
        <f t="shared" si="113"/>
        <v>243</v>
      </c>
      <c r="AM86" s="474">
        <f t="shared" si="114"/>
        <v>103.49310212592493</v>
      </c>
      <c r="AO86" t="str">
        <f t="shared" si="139"/>
        <v/>
      </c>
      <c r="AP86" t="str">
        <f t="shared" si="115"/>
        <v/>
      </c>
      <c r="AR86" s="6">
        <f t="shared" si="140"/>
        <v>9.6624797156360529</v>
      </c>
      <c r="AS86" s="6">
        <f t="shared" si="116"/>
        <v>4.833333333333333</v>
      </c>
      <c r="AT86" s="6">
        <f t="shared" si="141"/>
        <v>4.8291463823027199</v>
      </c>
      <c r="AU86" s="181">
        <f t="shared" si="142"/>
        <v>0.50021666027530376</v>
      </c>
      <c r="AW86" s="6">
        <f t="shared" si="117"/>
        <v>7.8299999999999983</v>
      </c>
      <c r="AX86" s="6">
        <f t="shared" si="118"/>
        <v>14.681249999999999</v>
      </c>
      <c r="AY86" s="6">
        <f t="shared" si="119"/>
        <v>2.7163948400452793</v>
      </c>
      <c r="AZ86" s="6"/>
      <c r="BA86" s="181">
        <f t="shared" si="143"/>
        <v>0.59208826150296945</v>
      </c>
      <c r="BB86" s="181">
        <f t="shared" si="120"/>
        <v>0.59183175305463676</v>
      </c>
      <c r="BC86" s="181">
        <f t="shared" si="121"/>
        <v>0.58346241513265207</v>
      </c>
      <c r="BD86" s="181"/>
      <c r="BE86" s="548">
        <f t="shared" si="122"/>
        <v>0.12269897829336304</v>
      </c>
      <c r="BF86" s="548">
        <f t="shared" si="123"/>
        <v>4.0892711977506088E-2</v>
      </c>
      <c r="BG86" s="548">
        <f t="shared" si="124"/>
        <v>1.2936637765740616E-3</v>
      </c>
      <c r="BH86" s="548">
        <f t="shared" si="125"/>
        <v>4.4188805572244732E-3</v>
      </c>
      <c r="BI86">
        <f t="shared" si="126"/>
        <v>3.48E-3</v>
      </c>
      <c r="BJ86" s="474">
        <f t="shared" si="144"/>
        <v>172.78423460466766</v>
      </c>
      <c r="BK86" s="181">
        <f t="shared" si="127"/>
        <v>8.5049999999999987E-2</v>
      </c>
      <c r="BL86" s="181">
        <f t="shared" si="128"/>
        <v>8.5049999999999987E-2</v>
      </c>
      <c r="BM86" s="548"/>
      <c r="BO86" s="474">
        <f t="shared" si="145"/>
        <v>170.09999999999997</v>
      </c>
      <c r="BP86" s="548">
        <f t="shared" si="129"/>
        <v>0</v>
      </c>
      <c r="BQ86" s="548">
        <f t="shared" si="130"/>
        <v>0</v>
      </c>
      <c r="BR86" s="548">
        <f t="shared" si="131"/>
        <v>3.0638555088518451E-2</v>
      </c>
      <c r="BS86" s="548">
        <f t="shared" si="132"/>
        <v>1.3793310792164344E-2</v>
      </c>
      <c r="BT86" s="658">
        <f t="shared" si="133"/>
        <v>0.22847395958074507</v>
      </c>
      <c r="BU86" s="474">
        <f t="shared" si="146"/>
        <v>272.90582546142781</v>
      </c>
      <c r="BV86" s="181">
        <f t="shared" si="147"/>
        <v>0.61579006006609549</v>
      </c>
      <c r="BW86" s="6">
        <f t="shared" si="148"/>
        <v>5.1948057439170316</v>
      </c>
      <c r="BX86" s="181">
        <f t="shared" si="149"/>
        <v>0.8940229055953306</v>
      </c>
      <c r="BY86" s="6">
        <f t="shared" si="150"/>
        <v>89.402290559533057</v>
      </c>
      <c r="BZ86">
        <f t="shared" si="151"/>
        <v>81</v>
      </c>
      <c r="CB86" s="583">
        <f t="shared" si="134"/>
        <v>-50</v>
      </c>
      <c r="CC86">
        <f t="shared" si="135"/>
        <v>-50</v>
      </c>
    </row>
    <row r="87" spans="5:81" x14ac:dyDescent="0.2">
      <c r="E87" s="178">
        <v>82</v>
      </c>
      <c r="F87" s="225">
        <f t="shared" si="152"/>
        <v>0.24599999999999997</v>
      </c>
      <c r="G87" s="225">
        <f t="shared" si="136"/>
        <v>0.24599999999999997</v>
      </c>
      <c r="H87" s="225">
        <f t="shared" si="91"/>
        <v>3.6899999999999995</v>
      </c>
      <c r="I87" s="225">
        <f t="shared" si="153"/>
        <v>1.9679999999999997</v>
      </c>
      <c r="J87" s="561">
        <f t="shared" si="92"/>
        <v>12</v>
      </c>
      <c r="K87" s="456">
        <f t="shared" si="93"/>
        <v>11.866984638135172</v>
      </c>
      <c r="L87" s="456">
        <f t="shared" si="94"/>
        <v>27.25</v>
      </c>
      <c r="M87" s="456"/>
      <c r="N87" s="225">
        <f t="shared" si="95"/>
        <v>0.55963302752293576</v>
      </c>
      <c r="O87" s="180">
        <f t="shared" si="137"/>
        <v>2.8577782209812521</v>
      </c>
      <c r="P87" s="180">
        <f t="shared" si="96"/>
        <v>2.3370275229357795</v>
      </c>
      <c r="Q87" s="225">
        <f t="shared" si="97"/>
        <v>0.19051854806541682</v>
      </c>
      <c r="R87" s="225">
        <f t="shared" si="98"/>
        <v>0.35722227762265651</v>
      </c>
      <c r="S87" s="456">
        <f t="shared" si="99"/>
        <v>11.616984638135172</v>
      </c>
      <c r="T87" s="225">
        <f t="shared" si="100"/>
        <v>1.45</v>
      </c>
      <c r="U87" s="225">
        <f t="shared" si="101"/>
        <v>4.833333333333333</v>
      </c>
      <c r="V87" s="225">
        <f t="shared" si="102"/>
        <v>4.8875094869183524</v>
      </c>
      <c r="W87" s="205">
        <f t="shared" si="103"/>
        <v>350</v>
      </c>
      <c r="X87" s="456">
        <f t="shared" si="138"/>
        <v>102.87173843781054</v>
      </c>
      <c r="Z87" s="225">
        <f t="shared" si="104"/>
        <v>0.4261829163852151</v>
      </c>
      <c r="AA87" s="181">
        <f t="shared" si="105"/>
        <v>1.4365331358588067</v>
      </c>
      <c r="AB87" s="181">
        <f t="shared" si="106"/>
        <v>0.10713952923175331</v>
      </c>
      <c r="AC87" s="181"/>
      <c r="AD87" s="181">
        <f t="shared" si="107"/>
        <v>0.97750189738367055</v>
      </c>
      <c r="AE87" s="565">
        <f t="shared" si="108"/>
        <v>1735.5994179436696</v>
      </c>
      <c r="AF87" s="548">
        <f t="shared" si="109"/>
        <v>4.9608221292221269E-2</v>
      </c>
      <c r="AH87" s="181">
        <f t="shared" si="110"/>
        <v>0.89904711460841369</v>
      </c>
      <c r="AI87" s="181">
        <f t="shared" si="111"/>
        <v>1.45</v>
      </c>
      <c r="AJ87" s="181">
        <f t="shared" si="112"/>
        <v>2.0592592592592593</v>
      </c>
      <c r="AL87" s="565">
        <f t="shared" si="113"/>
        <v>245.99999999999997</v>
      </c>
      <c r="AM87" s="474">
        <f t="shared" si="114"/>
        <v>102.87173843781054</v>
      </c>
      <c r="AO87" t="str">
        <f t="shared" si="139"/>
        <v/>
      </c>
      <c r="AP87" t="str">
        <f t="shared" si="115"/>
        <v/>
      </c>
      <c r="AR87" s="6">
        <f t="shared" si="140"/>
        <v>9.7208428202516863</v>
      </c>
      <c r="AS87" s="6">
        <f t="shared" si="116"/>
        <v>4.833333333333333</v>
      </c>
      <c r="AT87" s="6">
        <f t="shared" si="141"/>
        <v>4.8875094869183533</v>
      </c>
      <c r="AU87" s="181">
        <f t="shared" si="142"/>
        <v>0.49721340244941759</v>
      </c>
      <c r="AW87" s="6">
        <f t="shared" si="117"/>
        <v>7.926666666666665</v>
      </c>
      <c r="AX87" s="6">
        <f t="shared" si="118"/>
        <v>14.862499999999997</v>
      </c>
      <c r="AY87" s="6">
        <f t="shared" si="119"/>
        <v>2.7831651244951727</v>
      </c>
      <c r="AZ87" s="6"/>
      <c r="BA87" s="181">
        <f t="shared" si="143"/>
        <v>0.59030816207861592</v>
      </c>
      <c r="BB87" s="181">
        <f t="shared" si="120"/>
        <v>0.59360728357787174</v>
      </c>
      <c r="BC87" s="181">
        <f t="shared" si="121"/>
        <v>0.58521283714343719</v>
      </c>
      <c r="BD87" s="181"/>
      <c r="BE87" s="548">
        <f t="shared" si="122"/>
        <v>0.1219623041758217</v>
      </c>
      <c r="BF87" s="548">
        <f t="shared" si="123"/>
        <v>4.0647195650239887E-2</v>
      </c>
      <c r="BG87" s="548">
        <f t="shared" si="124"/>
        <v>1.2858967304726317E-3</v>
      </c>
      <c r="BH87" s="548">
        <f t="shared" si="125"/>
        <v>4.3923499782392841E-3</v>
      </c>
      <c r="BI87">
        <f t="shared" si="126"/>
        <v>3.48E-3</v>
      </c>
      <c r="BJ87" s="474">
        <f t="shared" si="144"/>
        <v>171.76774653477352</v>
      </c>
      <c r="BK87" s="181">
        <f t="shared" si="127"/>
        <v>8.6099999999999982E-2</v>
      </c>
      <c r="BL87" s="181">
        <f t="shared" si="128"/>
        <v>8.6099999999999982E-2</v>
      </c>
      <c r="BM87" s="548"/>
      <c r="BO87" s="474">
        <f t="shared" si="145"/>
        <v>172.19999999999996</v>
      </c>
      <c r="BP87" s="548">
        <f t="shared" si="129"/>
        <v>0</v>
      </c>
      <c r="BQ87" s="548">
        <f t="shared" si="130"/>
        <v>0</v>
      </c>
      <c r="BR87" s="548">
        <f t="shared" si="131"/>
        <v>3.0822665828172405E-2</v>
      </c>
      <c r="BS87" s="548">
        <f t="shared" si="132"/>
        <v>1.3587207491636747E-2</v>
      </c>
      <c r="BT87" s="658">
        <f t="shared" si="133"/>
        <v>0.22710222156877152</v>
      </c>
      <c r="BU87" s="474">
        <f t="shared" si="146"/>
        <v>271.51209488858069</v>
      </c>
      <c r="BV87" s="181">
        <f t="shared" si="147"/>
        <v>0.6154798414233541</v>
      </c>
      <c r="BW87" s="6">
        <f t="shared" si="148"/>
        <v>5.1948057439170316</v>
      </c>
      <c r="BX87" s="181">
        <f t="shared" si="149"/>
        <v>0.894070638631561</v>
      </c>
      <c r="BY87" s="6">
        <f t="shared" si="150"/>
        <v>89.407063863156097</v>
      </c>
      <c r="BZ87">
        <f t="shared" si="151"/>
        <v>82</v>
      </c>
      <c r="CB87" s="583">
        <f t="shared" si="134"/>
        <v>-50</v>
      </c>
      <c r="CC87">
        <f t="shared" si="135"/>
        <v>-50</v>
      </c>
    </row>
    <row r="88" spans="5:81" x14ac:dyDescent="0.2">
      <c r="E88" s="178">
        <v>83</v>
      </c>
      <c r="F88" s="225">
        <f t="shared" si="152"/>
        <v>0.24899999999999997</v>
      </c>
      <c r="G88" s="225">
        <f t="shared" si="136"/>
        <v>0.24899999999999997</v>
      </c>
      <c r="H88" s="225">
        <f t="shared" si="91"/>
        <v>3.7349999999999994</v>
      </c>
      <c r="I88" s="225">
        <f t="shared" si="153"/>
        <v>1.9919999999999998</v>
      </c>
      <c r="J88" s="561">
        <f t="shared" si="92"/>
        <v>12</v>
      </c>
      <c r="K88" s="456">
        <f t="shared" si="93"/>
        <v>11.727020967796195</v>
      </c>
      <c r="L88" s="456">
        <f t="shared" si="94"/>
        <v>27.25</v>
      </c>
      <c r="M88" s="456"/>
      <c r="N88" s="225">
        <f t="shared" si="95"/>
        <v>0.55963302752293576</v>
      </c>
      <c r="O88" s="180">
        <f t="shared" si="137"/>
        <v>2.8577782209812521</v>
      </c>
      <c r="P88" s="180">
        <f t="shared" si="96"/>
        <v>2.3370275229357795</v>
      </c>
      <c r="Q88" s="225">
        <f t="shared" si="97"/>
        <v>0.19051854806541682</v>
      </c>
      <c r="R88" s="225">
        <f t="shared" si="98"/>
        <v>0.35722227762265651</v>
      </c>
      <c r="S88" s="456">
        <f t="shared" si="99"/>
        <v>11.477020967796195</v>
      </c>
      <c r="T88" s="225">
        <f t="shared" si="100"/>
        <v>1.45</v>
      </c>
      <c r="U88" s="225">
        <f t="shared" si="101"/>
        <v>4.833333333333333</v>
      </c>
      <c r="V88" s="225">
        <f t="shared" si="102"/>
        <v>4.9458426107768503</v>
      </c>
      <c r="W88" s="205">
        <f t="shared" si="103"/>
        <v>350</v>
      </c>
      <c r="X88" s="456">
        <f t="shared" si="138"/>
        <v>102.25810494822741</v>
      </c>
      <c r="Z88" s="225">
        <f t="shared" si="104"/>
        <v>0.42364072049979928</v>
      </c>
      <c r="AA88" s="181">
        <f t="shared" si="105"/>
        <v>1.4450071221435266</v>
      </c>
      <c r="AB88" s="181">
        <f t="shared" si="106"/>
        <v>0.10712867521163939</v>
      </c>
      <c r="AC88" s="181"/>
      <c r="AD88" s="181">
        <f t="shared" si="107"/>
        <v>0.9891685221553701</v>
      </c>
      <c r="AE88" s="565">
        <f t="shared" si="108"/>
        <v>1736.0453156844542</v>
      </c>
      <c r="AF88" s="548">
        <f t="shared" si="109"/>
        <v>5.0200302499385029E-2</v>
      </c>
      <c r="AH88" s="181">
        <f t="shared" si="110"/>
        <v>0.90451249695228475</v>
      </c>
      <c r="AI88" s="181">
        <f t="shared" si="111"/>
        <v>1.45</v>
      </c>
      <c r="AJ88" s="181">
        <f t="shared" si="112"/>
        <v>2.0592592592592593</v>
      </c>
      <c r="AL88" s="565">
        <f t="shared" si="113"/>
        <v>248.99999999999997</v>
      </c>
      <c r="AM88" s="474">
        <f t="shared" si="114"/>
        <v>102.25810494822741</v>
      </c>
      <c r="AO88" t="str">
        <f t="shared" si="139"/>
        <v/>
      </c>
      <c r="AP88" t="str">
        <f t="shared" si="115"/>
        <v/>
      </c>
      <c r="AR88" s="6">
        <f t="shared" si="140"/>
        <v>9.7791759441101842</v>
      </c>
      <c r="AS88" s="6">
        <f t="shared" si="116"/>
        <v>4.833333333333333</v>
      </c>
      <c r="AT88" s="6">
        <f t="shared" si="141"/>
        <v>4.9458426107768512</v>
      </c>
      <c r="AU88" s="181">
        <f t="shared" si="142"/>
        <v>0.49424750724976574</v>
      </c>
      <c r="AW88" s="6">
        <f t="shared" si="117"/>
        <v>8.0233333333333317</v>
      </c>
      <c r="AX88" s="6">
        <f t="shared" si="118"/>
        <v>15.043749999999998</v>
      </c>
      <c r="AY88" s="6">
        <f t="shared" si="119"/>
        <v>2.8507287270449897</v>
      </c>
      <c r="AZ88" s="6"/>
      <c r="BA88" s="181">
        <f t="shared" si="143"/>
        <v>0.58854492436647865</v>
      </c>
      <c r="BB88" s="181">
        <f t="shared" si="120"/>
        <v>0.59535552851702755</v>
      </c>
      <c r="BC88" s="181">
        <f t="shared" si="121"/>
        <v>0.58693635942688771</v>
      </c>
      <c r="BD88" s="181"/>
      <c r="BE88" s="548">
        <f t="shared" si="122"/>
        <v>0.12123479479914041</v>
      </c>
      <c r="BF88" s="548">
        <f t="shared" si="123"/>
        <v>4.0404733717668354E-2</v>
      </c>
      <c r="BG88" s="548">
        <f t="shared" si="124"/>
        <v>1.2782263118528427E-3</v>
      </c>
      <c r="BH88" s="548">
        <f t="shared" si="125"/>
        <v>4.3661494581980417E-3</v>
      </c>
      <c r="BI88">
        <f t="shared" si="126"/>
        <v>3.48E-3</v>
      </c>
      <c r="BJ88" s="474">
        <f t="shared" si="144"/>
        <v>170.76390428685966</v>
      </c>
      <c r="BK88" s="181">
        <f t="shared" si="127"/>
        <v>8.7149999999999991E-2</v>
      </c>
      <c r="BL88" s="181">
        <f t="shared" si="128"/>
        <v>8.7149999999999991E-2</v>
      </c>
      <c r="BM88" s="548"/>
      <c r="BO88" s="474">
        <f t="shared" si="145"/>
        <v>174.29999999999998</v>
      </c>
      <c r="BP88" s="548">
        <f t="shared" si="129"/>
        <v>0</v>
      </c>
      <c r="BQ88" s="548">
        <f t="shared" si="130"/>
        <v>0</v>
      </c>
      <c r="BR88" s="548">
        <f t="shared" si="131"/>
        <v>3.1004486101555984E-2</v>
      </c>
      <c r="BS88" s="548">
        <f t="shared" si="132"/>
        <v>1.338549265764293E-2</v>
      </c>
      <c r="BT88" s="658">
        <f t="shared" si="133"/>
        <v>0.22574754893633056</v>
      </c>
      <c r="BU88" s="474">
        <f t="shared" si="146"/>
        <v>270.13752769552946</v>
      </c>
      <c r="BV88" s="181">
        <f t="shared" si="147"/>
        <v>0.61520143198238919</v>
      </c>
      <c r="BW88" s="6">
        <f t="shared" si="148"/>
        <v>5.1948057439170316</v>
      </c>
      <c r="BX88" s="181">
        <f t="shared" si="149"/>
        <v>0.89411348155742121</v>
      </c>
      <c r="BY88" s="6">
        <f t="shared" si="150"/>
        <v>89.411348155742118</v>
      </c>
      <c r="BZ88">
        <f t="shared" si="151"/>
        <v>83</v>
      </c>
      <c r="CB88" s="583">
        <f t="shared" si="134"/>
        <v>-50</v>
      </c>
      <c r="CC88">
        <f t="shared" si="135"/>
        <v>-50</v>
      </c>
    </row>
    <row r="89" spans="5:81" x14ac:dyDescent="0.2">
      <c r="E89" s="178">
        <v>84</v>
      </c>
      <c r="F89" s="225">
        <f t="shared" si="152"/>
        <v>0.252</v>
      </c>
      <c r="G89" s="225">
        <f t="shared" si="136"/>
        <v>0.252</v>
      </c>
      <c r="H89" s="225">
        <f t="shared" si="91"/>
        <v>3.7800000000000002</v>
      </c>
      <c r="I89" s="225">
        <f t="shared" si="153"/>
        <v>2.016</v>
      </c>
      <c r="J89" s="561">
        <f t="shared" si="92"/>
        <v>12</v>
      </c>
      <c r="K89" s="456">
        <f t="shared" si="93"/>
        <v>11.590389765798619</v>
      </c>
      <c r="L89" s="456">
        <f t="shared" si="94"/>
        <v>27.25</v>
      </c>
      <c r="M89" s="456"/>
      <c r="N89" s="225">
        <f t="shared" si="95"/>
        <v>0.55963302752293576</v>
      </c>
      <c r="O89" s="180">
        <f t="shared" si="137"/>
        <v>2.8577782209812521</v>
      </c>
      <c r="P89" s="180">
        <f t="shared" si="96"/>
        <v>2.3370275229357795</v>
      </c>
      <c r="Q89" s="225">
        <f t="shared" si="97"/>
        <v>0.19051854806541682</v>
      </c>
      <c r="R89" s="225">
        <f t="shared" si="98"/>
        <v>0.35722227762265651</v>
      </c>
      <c r="S89" s="456">
        <f t="shared" si="99"/>
        <v>11.340389765798619</v>
      </c>
      <c r="T89" s="225">
        <f t="shared" si="100"/>
        <v>1.45</v>
      </c>
      <c r="U89" s="225">
        <f t="shared" si="101"/>
        <v>4.833333333333333</v>
      </c>
      <c r="V89" s="225">
        <f t="shared" si="102"/>
        <v>5.0041457769736697</v>
      </c>
      <c r="W89" s="205">
        <f t="shared" si="103"/>
        <v>350</v>
      </c>
      <c r="X89" s="456">
        <f t="shared" si="138"/>
        <v>101.65205829532812</v>
      </c>
      <c r="Z89" s="225">
        <f t="shared" si="104"/>
        <v>0.42112995579493068</v>
      </c>
      <c r="AA89" s="181">
        <f t="shared" si="105"/>
        <v>1.4533763378264211</v>
      </c>
      <c r="AB89" s="181">
        <f t="shared" si="106"/>
        <v>0.10711055475789182</v>
      </c>
      <c r="AC89" s="181"/>
      <c r="AD89" s="181">
        <f t="shared" si="107"/>
        <v>1.0008291553947342</v>
      </c>
      <c r="AE89" s="565">
        <f t="shared" si="108"/>
        <v>1736.4912134252388</v>
      </c>
      <c r="AF89" s="548">
        <f t="shared" si="109"/>
        <v>5.0792079636282746E-2</v>
      </c>
      <c r="AH89" s="181">
        <f t="shared" si="110"/>
        <v>0.90994505328618602</v>
      </c>
      <c r="AI89" s="181">
        <f t="shared" si="111"/>
        <v>1.45</v>
      </c>
      <c r="AJ89" s="181">
        <f t="shared" si="112"/>
        <v>2.0592592592592593</v>
      </c>
      <c r="AL89" s="565">
        <f t="shared" si="113"/>
        <v>252</v>
      </c>
      <c r="AM89" s="474">
        <f t="shared" si="114"/>
        <v>101.65205829532812</v>
      </c>
      <c r="AO89" t="str">
        <f t="shared" si="139"/>
        <v/>
      </c>
      <c r="AP89" t="str">
        <f t="shared" si="115"/>
        <v/>
      </c>
      <c r="AR89" s="6">
        <f t="shared" si="140"/>
        <v>9.8374791103070027</v>
      </c>
      <c r="AS89" s="6">
        <f t="shared" si="116"/>
        <v>4.833333333333333</v>
      </c>
      <c r="AT89" s="6">
        <f t="shared" si="141"/>
        <v>5.0041457769736697</v>
      </c>
      <c r="AU89" s="181">
        <f t="shared" si="142"/>
        <v>0.49131828176075254</v>
      </c>
      <c r="AW89" s="6">
        <f t="shared" si="117"/>
        <v>8.120000000000001</v>
      </c>
      <c r="AX89" s="6">
        <f t="shared" si="118"/>
        <v>15.225</v>
      </c>
      <c r="AY89" s="6">
        <f t="shared" si="119"/>
        <v>2.9190850365679739</v>
      </c>
      <c r="AZ89" s="6"/>
      <c r="BA89" s="181">
        <f t="shared" si="143"/>
        <v>0.58679828658065636</v>
      </c>
      <c r="BB89" s="181">
        <f t="shared" si="120"/>
        <v>0.59707713421243924</v>
      </c>
      <c r="BC89" s="181">
        <f t="shared" si="121"/>
        <v>0.58863361918317236</v>
      </c>
      <c r="BD89" s="181"/>
      <c r="BE89" s="548">
        <f t="shared" si="122"/>
        <v>0.12051628019689792</v>
      </c>
      <c r="BF89" s="548">
        <f t="shared" si="123"/>
        <v>4.0165269533941519E-2</v>
      </c>
      <c r="BG89" s="548">
        <f t="shared" si="124"/>
        <v>1.2706507286916015E-3</v>
      </c>
      <c r="BH89" s="548">
        <f t="shared" si="125"/>
        <v>4.340272875930664E-3</v>
      </c>
      <c r="BI89">
        <f t="shared" si="126"/>
        <v>3.48E-3</v>
      </c>
      <c r="BJ89" s="474">
        <f t="shared" si="144"/>
        <v>169.77247333546168</v>
      </c>
      <c r="BK89" s="181">
        <f t="shared" si="127"/>
        <v>8.8200000000000001E-2</v>
      </c>
      <c r="BL89" s="181">
        <f t="shared" si="128"/>
        <v>8.8200000000000001E-2</v>
      </c>
      <c r="BM89" s="548"/>
      <c r="BO89" s="474">
        <f t="shared" si="145"/>
        <v>176.4</v>
      </c>
      <c r="BP89" s="548">
        <f t="shared" si="129"/>
        <v>0</v>
      </c>
      <c r="BQ89" s="548">
        <f t="shared" si="130"/>
        <v>0</v>
      </c>
      <c r="BR89" s="548">
        <f t="shared" si="131"/>
        <v>3.1184058386941198E-2</v>
      </c>
      <c r="BS89" s="548">
        <f t="shared" si="132"/>
        <v>1.3188045961937905E-2</v>
      </c>
      <c r="BT89" s="658">
        <f t="shared" si="133"/>
        <v>0.22440962519422378</v>
      </c>
      <c r="BU89" s="474">
        <f t="shared" si="146"/>
        <v>268.78172954310287</v>
      </c>
      <c r="BV89" s="181">
        <f t="shared" si="147"/>
        <v>0.61495420287856462</v>
      </c>
      <c r="BW89" s="6">
        <f t="shared" si="148"/>
        <v>5.1948057439170316</v>
      </c>
      <c r="BX89" s="181">
        <f t="shared" si="149"/>
        <v>0.89415152975163015</v>
      </c>
      <c r="BY89" s="6">
        <f t="shared" si="150"/>
        <v>89.415152975163011</v>
      </c>
      <c r="BZ89">
        <f t="shared" si="151"/>
        <v>84.000000000000014</v>
      </c>
      <c r="CB89" s="583">
        <f t="shared" si="134"/>
        <v>-50</v>
      </c>
      <c r="CC89">
        <f t="shared" si="135"/>
        <v>-50</v>
      </c>
    </row>
    <row r="90" spans="5:81" x14ac:dyDescent="0.2">
      <c r="E90" s="178">
        <v>85</v>
      </c>
      <c r="F90" s="225">
        <f t="shared" si="152"/>
        <v>0.255</v>
      </c>
      <c r="G90" s="225">
        <f t="shared" si="136"/>
        <v>0.255</v>
      </c>
      <c r="H90" s="225">
        <f t="shared" si="91"/>
        <v>3.8250000000000002</v>
      </c>
      <c r="I90" s="225">
        <f t="shared" si="153"/>
        <v>2.04</v>
      </c>
      <c r="J90" s="561">
        <f t="shared" si="92"/>
        <v>12</v>
      </c>
      <c r="K90" s="456">
        <f t="shared" si="93"/>
        <v>11.456973415612753</v>
      </c>
      <c r="L90" s="456">
        <f t="shared" si="94"/>
        <v>27.25</v>
      </c>
      <c r="M90" s="456"/>
      <c r="N90" s="225">
        <f t="shared" si="95"/>
        <v>0.55963302752293576</v>
      </c>
      <c r="O90" s="180">
        <f t="shared" si="137"/>
        <v>2.8577782209812521</v>
      </c>
      <c r="P90" s="180">
        <f t="shared" si="96"/>
        <v>2.3370275229357795</v>
      </c>
      <c r="Q90" s="225">
        <f t="shared" si="97"/>
        <v>0.19051854806541682</v>
      </c>
      <c r="R90" s="225">
        <f t="shared" si="98"/>
        <v>0.35722227762265651</v>
      </c>
      <c r="S90" s="456">
        <f t="shared" si="99"/>
        <v>11.206973415612753</v>
      </c>
      <c r="T90" s="225">
        <f t="shared" si="100"/>
        <v>1.45</v>
      </c>
      <c r="U90" s="225">
        <f t="shared" si="101"/>
        <v>4.833333333333333</v>
      </c>
      <c r="V90" s="225">
        <f t="shared" si="102"/>
        <v>5.0624190085805472</v>
      </c>
      <c r="W90" s="205">
        <f t="shared" si="103"/>
        <v>350</v>
      </c>
      <c r="X90" s="456">
        <f t="shared" si="138"/>
        <v>101.05345864047723</v>
      </c>
      <c r="Z90" s="225">
        <f t="shared" si="104"/>
        <v>0.41865004293911989</v>
      </c>
      <c r="AA90" s="181">
        <f t="shared" si="105"/>
        <v>1.4616427140124573</v>
      </c>
      <c r="AB90" s="181">
        <f t="shared" si="106"/>
        <v>0.10708543737201921</v>
      </c>
      <c r="AC90" s="181"/>
      <c r="AD90" s="181">
        <f t="shared" si="107"/>
        <v>1.0124838017161097</v>
      </c>
      <c r="AE90" s="565">
        <f t="shared" si="108"/>
        <v>1736.9371111660237</v>
      </c>
      <c r="AF90" s="548">
        <f t="shared" si="109"/>
        <v>5.1383552937092555E-2</v>
      </c>
      <c r="AH90" s="181">
        <f t="shared" si="110"/>
        <v>0.9153453680754291</v>
      </c>
      <c r="AI90" s="181">
        <f t="shared" si="111"/>
        <v>1.45</v>
      </c>
      <c r="AJ90" s="181">
        <f t="shared" si="112"/>
        <v>2.0592592592592593</v>
      </c>
      <c r="AL90" s="565">
        <f t="shared" si="113"/>
        <v>255</v>
      </c>
      <c r="AM90" s="474">
        <f t="shared" si="114"/>
        <v>101.05345864047723</v>
      </c>
      <c r="AO90" t="str">
        <f t="shared" si="139"/>
        <v/>
      </c>
      <c r="AP90" t="str">
        <f t="shared" si="115"/>
        <v/>
      </c>
      <c r="AR90" s="6">
        <f t="shared" si="140"/>
        <v>9.8957523419138802</v>
      </c>
      <c r="AS90" s="6">
        <f t="shared" si="116"/>
        <v>4.833333333333333</v>
      </c>
      <c r="AT90" s="6">
        <f t="shared" si="141"/>
        <v>5.0624190085805472</v>
      </c>
      <c r="AU90" s="181">
        <f t="shared" si="142"/>
        <v>0.48842505009563991</v>
      </c>
      <c r="AW90" s="6">
        <f t="shared" si="117"/>
        <v>8.216666666666665</v>
      </c>
      <c r="AX90" s="6">
        <f t="shared" si="118"/>
        <v>15.40625</v>
      </c>
      <c r="AY90" s="6">
        <f t="shared" si="119"/>
        <v>2.9882334425649058</v>
      </c>
      <c r="AZ90" s="6"/>
      <c r="BA90" s="181">
        <f t="shared" si="143"/>
        <v>0.58506799258037323</v>
      </c>
      <c r="BB90" s="181">
        <f t="shared" si="120"/>
        <v>0.59877272599151143</v>
      </c>
      <c r="BC90" s="181">
        <f t="shared" si="121"/>
        <v>0.59030523289668202</v>
      </c>
      <c r="BD90" s="181"/>
      <c r="BE90" s="548">
        <f t="shared" si="122"/>
        <v>0.11980659457970969</v>
      </c>
      <c r="BF90" s="548">
        <f t="shared" si="123"/>
        <v>3.9928747845318566E-2</v>
      </c>
      <c r="BG90" s="548">
        <f t="shared" si="124"/>
        <v>1.2631682330059653E-3</v>
      </c>
      <c r="BH90" s="548">
        <f t="shared" si="125"/>
        <v>4.3147142606988643E-3</v>
      </c>
      <c r="BI90">
        <f t="shared" si="126"/>
        <v>3.48E-3</v>
      </c>
      <c r="BJ90" s="474">
        <f t="shared" si="144"/>
        <v>168.79322491873307</v>
      </c>
      <c r="BK90" s="181">
        <f t="shared" si="127"/>
        <v>8.9249999999999996E-2</v>
      </c>
      <c r="BL90" s="181">
        <f t="shared" si="128"/>
        <v>8.9249999999999996E-2</v>
      </c>
      <c r="BM90" s="548"/>
      <c r="BO90" s="474">
        <f t="shared" si="145"/>
        <v>178.5</v>
      </c>
      <c r="BP90" s="548">
        <f t="shared" si="129"/>
        <v>0</v>
      </c>
      <c r="BQ90" s="548">
        <f t="shared" si="130"/>
        <v>0</v>
      </c>
      <c r="BR90" s="548">
        <f t="shared" si="131"/>
        <v>3.1361424118668539E-2</v>
      </c>
      <c r="BS90" s="548">
        <f t="shared" si="132"/>
        <v>1.299475109828494E-2</v>
      </c>
      <c r="BT90" s="658">
        <f t="shared" si="133"/>
        <v>0.2230881416311836</v>
      </c>
      <c r="BU90" s="474">
        <f t="shared" si="146"/>
        <v>267.44431684813708</v>
      </c>
      <c r="BV90" s="181">
        <f t="shared" si="147"/>
        <v>0.61473754176687023</v>
      </c>
      <c r="BW90" s="6">
        <f t="shared" si="148"/>
        <v>5.1948057439170316</v>
      </c>
      <c r="BX90" s="181">
        <f t="shared" si="149"/>
        <v>0.89418487623945753</v>
      </c>
      <c r="BY90" s="6">
        <f t="shared" si="150"/>
        <v>89.418487623945751</v>
      </c>
      <c r="BZ90">
        <f t="shared" si="151"/>
        <v>85.000000000000014</v>
      </c>
      <c r="CB90" s="583">
        <f t="shared" si="134"/>
        <v>-50</v>
      </c>
      <c r="CC90">
        <f t="shared" si="135"/>
        <v>-50</v>
      </c>
    </row>
    <row r="91" spans="5:81" x14ac:dyDescent="0.2">
      <c r="E91" s="178">
        <v>86</v>
      </c>
      <c r="F91" s="225">
        <f t="shared" si="152"/>
        <v>0.25800000000000001</v>
      </c>
      <c r="G91" s="225">
        <f t="shared" si="136"/>
        <v>0.25800000000000001</v>
      </c>
      <c r="H91" s="225">
        <f t="shared" si="91"/>
        <v>3.87</v>
      </c>
      <c r="I91" s="225">
        <f t="shared" si="153"/>
        <v>2.0640000000000001</v>
      </c>
      <c r="J91" s="561">
        <f t="shared" si="92"/>
        <v>12</v>
      </c>
      <c r="K91" s="456">
        <f t="shared" si="93"/>
        <v>11.326659771245163</v>
      </c>
      <c r="L91" s="456">
        <f t="shared" si="94"/>
        <v>27.25</v>
      </c>
      <c r="M91" s="456"/>
      <c r="N91" s="225">
        <f t="shared" si="95"/>
        <v>0.55963302752293576</v>
      </c>
      <c r="O91" s="180">
        <f t="shared" si="137"/>
        <v>2.8577782209812521</v>
      </c>
      <c r="P91" s="180">
        <f t="shared" si="96"/>
        <v>2.3370275229357795</v>
      </c>
      <c r="Q91" s="225">
        <f t="shared" si="97"/>
        <v>0.19051854806541682</v>
      </c>
      <c r="R91" s="225">
        <f t="shared" si="98"/>
        <v>0.35722227762265651</v>
      </c>
      <c r="S91" s="456">
        <f t="shared" si="99"/>
        <v>11.076659771245163</v>
      </c>
      <c r="T91" s="225">
        <f t="shared" si="100"/>
        <v>1.45</v>
      </c>
      <c r="U91" s="225">
        <f t="shared" si="101"/>
        <v>4.833333333333333</v>
      </c>
      <c r="V91" s="225">
        <f t="shared" si="102"/>
        <v>5.1206623286455386</v>
      </c>
      <c r="W91" s="205">
        <f t="shared" si="103"/>
        <v>350</v>
      </c>
      <c r="X91" s="456">
        <f t="shared" si="138"/>
        <v>100.46216956068054</v>
      </c>
      <c r="Z91" s="225">
        <f t="shared" si="104"/>
        <v>0.4162004167513908</v>
      </c>
      <c r="AA91" s="181">
        <f t="shared" si="105"/>
        <v>1.469808134638221</v>
      </c>
      <c r="AB91" s="181">
        <f t="shared" si="106"/>
        <v>0.10705358268167707</v>
      </c>
      <c r="AC91" s="181"/>
      <c r="AD91" s="181">
        <f t="shared" si="107"/>
        <v>1.0241324657291078</v>
      </c>
      <c r="AE91" s="565">
        <f t="shared" si="108"/>
        <v>1737.3830089068088</v>
      </c>
      <c r="AF91" s="548">
        <f t="shared" si="109"/>
        <v>5.1974722635752216E-2</v>
      </c>
      <c r="AH91" s="181">
        <f t="shared" si="110"/>
        <v>0.92071400864453323</v>
      </c>
      <c r="AI91" s="181">
        <f t="shared" si="111"/>
        <v>1.45</v>
      </c>
      <c r="AJ91" s="181">
        <f t="shared" si="112"/>
        <v>2.0592592592592593</v>
      </c>
      <c r="AL91" s="565">
        <f t="shared" si="113"/>
        <v>258</v>
      </c>
      <c r="AM91" s="474">
        <f t="shared" si="114"/>
        <v>100.46216956068054</v>
      </c>
      <c r="AO91" t="str">
        <f t="shared" si="139"/>
        <v/>
      </c>
      <c r="AP91" t="str">
        <f t="shared" si="115"/>
        <v/>
      </c>
      <c r="AR91" s="6">
        <f t="shared" si="140"/>
        <v>9.9539956619788725</v>
      </c>
      <c r="AS91" s="6">
        <f t="shared" si="116"/>
        <v>4.833333333333333</v>
      </c>
      <c r="AT91" s="6">
        <f t="shared" si="141"/>
        <v>5.1206623286455395</v>
      </c>
      <c r="AU91" s="181">
        <f t="shared" si="142"/>
        <v>0.48556715287662255</v>
      </c>
      <c r="AW91" s="6">
        <f t="shared" si="117"/>
        <v>8.3133333333333326</v>
      </c>
      <c r="AX91" s="6">
        <f t="shared" si="118"/>
        <v>15.587499999999999</v>
      </c>
      <c r="AY91" s="6">
        <f t="shared" si="119"/>
        <v>3.0581733351633078</v>
      </c>
      <c r="AZ91" s="6"/>
      <c r="BA91" s="181">
        <f t="shared" si="143"/>
        <v>0.58335379171451318</v>
      </c>
      <c r="BB91" s="181">
        <f t="shared" si="120"/>
        <v>0.60044290904767428</v>
      </c>
      <c r="BC91" s="181">
        <f t="shared" si="121"/>
        <v>0.59195179720255575</v>
      </c>
      <c r="BD91" s="181"/>
      <c r="BE91" s="548">
        <f t="shared" si="122"/>
        <v>0.11910557620769485</v>
      </c>
      <c r="BF91" s="548">
        <f t="shared" si="123"/>
        <v>3.9695114747663893E-2</v>
      </c>
      <c r="BG91" s="548">
        <f t="shared" si="124"/>
        <v>1.2557771195085066E-3</v>
      </c>
      <c r="BH91" s="548">
        <f t="shared" si="125"/>
        <v>4.2894677876031632E-3</v>
      </c>
      <c r="BI91">
        <f t="shared" si="126"/>
        <v>3.48E-3</v>
      </c>
      <c r="BJ91" s="474">
        <f t="shared" si="144"/>
        <v>167.82593586247043</v>
      </c>
      <c r="BK91" s="181">
        <f t="shared" si="127"/>
        <v>9.0299999999999991E-2</v>
      </c>
      <c r="BL91" s="181">
        <f t="shared" si="128"/>
        <v>9.0299999999999991E-2</v>
      </c>
      <c r="BM91" s="548"/>
      <c r="BO91" s="474">
        <f t="shared" si="145"/>
        <v>180.6</v>
      </c>
      <c r="BP91" s="548">
        <f t="shared" si="129"/>
        <v>0</v>
      </c>
      <c r="BQ91" s="548">
        <f t="shared" si="130"/>
        <v>0</v>
      </c>
      <c r="BR91" s="548">
        <f t="shared" si="131"/>
        <v>3.1536623719020211E-2</v>
      </c>
      <c r="BS91" s="548">
        <f t="shared" si="132"/>
        <v>1.2805495624239497E-2</v>
      </c>
      <c r="BT91" s="658">
        <f t="shared" si="133"/>
        <v>0.22178279707639742</v>
      </c>
      <c r="BU91" s="474">
        <f t="shared" si="146"/>
        <v>266.12491641965715</v>
      </c>
      <c r="BV91" s="181">
        <f t="shared" si="147"/>
        <v>0.61455085228212758</v>
      </c>
      <c r="BW91" s="6">
        <f t="shared" si="148"/>
        <v>5.1948057439170316</v>
      </c>
      <c r="BX91" s="181">
        <f t="shared" si="149"/>
        <v>0.89421361176482006</v>
      </c>
      <c r="BY91" s="6">
        <f t="shared" si="150"/>
        <v>89.421361176482009</v>
      </c>
      <c r="BZ91">
        <f t="shared" si="151"/>
        <v>86.000000000000014</v>
      </c>
      <c r="CB91" s="583">
        <f t="shared" si="134"/>
        <v>-50</v>
      </c>
      <c r="CC91">
        <f t="shared" si="135"/>
        <v>-50</v>
      </c>
    </row>
    <row r="92" spans="5:81" x14ac:dyDescent="0.2">
      <c r="E92" s="178">
        <v>87</v>
      </c>
      <c r="F92" s="225">
        <f t="shared" si="152"/>
        <v>0.26100000000000001</v>
      </c>
      <c r="G92" s="225">
        <f t="shared" si="136"/>
        <v>0.26100000000000001</v>
      </c>
      <c r="H92" s="225">
        <f t="shared" si="91"/>
        <v>3.915</v>
      </c>
      <c r="I92" s="225">
        <f t="shared" si="153"/>
        <v>2.0880000000000001</v>
      </c>
      <c r="J92" s="561">
        <f t="shared" si="92"/>
        <v>12</v>
      </c>
      <c r="K92" s="456">
        <f t="shared" si="93"/>
        <v>11.199341842840045</v>
      </c>
      <c r="L92" s="456">
        <f t="shared" si="94"/>
        <v>27.25</v>
      </c>
      <c r="M92" s="456"/>
      <c r="N92" s="225">
        <f t="shared" si="95"/>
        <v>0.55963302752293576</v>
      </c>
      <c r="O92" s="180">
        <f t="shared" si="137"/>
        <v>2.8577782209812521</v>
      </c>
      <c r="P92" s="180">
        <f t="shared" si="96"/>
        <v>2.3370275229357795</v>
      </c>
      <c r="Q92" s="225">
        <f t="shared" si="97"/>
        <v>0.19051854806541682</v>
      </c>
      <c r="R92" s="225">
        <f t="shared" si="98"/>
        <v>0.35722227762265651</v>
      </c>
      <c r="S92" s="456">
        <f t="shared" si="99"/>
        <v>10.949341842840045</v>
      </c>
      <c r="T92" s="225">
        <f t="shared" si="100"/>
        <v>1.45</v>
      </c>
      <c r="U92" s="225">
        <f t="shared" si="101"/>
        <v>4.833333333333333</v>
      </c>
      <c r="V92" s="225">
        <f t="shared" si="102"/>
        <v>5.1788757601930433</v>
      </c>
      <c r="W92" s="205">
        <f t="shared" si="103"/>
        <v>350</v>
      </c>
      <c r="X92" s="456">
        <f t="shared" si="138"/>
        <v>99.878057944931754</v>
      </c>
      <c r="Z92" s="225">
        <f t="shared" si="104"/>
        <v>0.41378052577186009</v>
      </c>
      <c r="AA92" s="181">
        <f t="shared" si="105"/>
        <v>1.4778744379033235</v>
      </c>
      <c r="AB92" s="181">
        <f t="shared" si="106"/>
        <v>0.10701524083957514</v>
      </c>
      <c r="AC92" s="181"/>
      <c r="AD92" s="181">
        <f t="shared" si="107"/>
        <v>1.0357751520386087</v>
      </c>
      <c r="AE92" s="565">
        <f t="shared" si="108"/>
        <v>1737.8289066475929</v>
      </c>
      <c r="AF92" s="548">
        <f t="shared" si="109"/>
        <v>5.2565588965959399E-2</v>
      </c>
      <c r="AH92" s="181">
        <f t="shared" si="110"/>
        <v>0.92605152587284711</v>
      </c>
      <c r="AI92" s="181">
        <f t="shared" si="111"/>
        <v>1.45</v>
      </c>
      <c r="AJ92" s="181">
        <f t="shared" si="112"/>
        <v>2.0592592592592593</v>
      </c>
      <c r="AL92" s="565">
        <f t="shared" si="113"/>
        <v>261</v>
      </c>
      <c r="AM92" s="474">
        <f t="shared" si="114"/>
        <v>99.878057944931754</v>
      </c>
      <c r="AO92" t="str">
        <f t="shared" si="139"/>
        <v/>
      </c>
      <c r="AP92" t="str">
        <f t="shared" si="115"/>
        <v/>
      </c>
      <c r="AR92" s="6">
        <f t="shared" si="140"/>
        <v>10.012209093526375</v>
      </c>
      <c r="AS92" s="6">
        <f t="shared" si="116"/>
        <v>4.833333333333333</v>
      </c>
      <c r="AT92" s="6">
        <f t="shared" si="141"/>
        <v>5.1788757601930415</v>
      </c>
      <c r="AU92" s="181">
        <f t="shared" si="142"/>
        <v>0.48274394673383686</v>
      </c>
      <c r="AW92" s="6">
        <f t="shared" si="117"/>
        <v>8.41</v>
      </c>
      <c r="AX92" s="6">
        <f t="shared" si="118"/>
        <v>15.768750000000001</v>
      </c>
      <c r="AY92" s="6">
        <f t="shared" si="119"/>
        <v>3.1289041051166286</v>
      </c>
      <c r="AZ92" s="6"/>
      <c r="BA92" s="181">
        <f t="shared" si="143"/>
        <v>0.58165543867135294</v>
      </c>
      <c r="BB92" s="181">
        <f t="shared" si="120"/>
        <v>0.60208826927400716</v>
      </c>
      <c r="BC92" s="181">
        <f t="shared" si="121"/>
        <v>0.5935738897085161</v>
      </c>
      <c r="BD92" s="181"/>
      <c r="BE92" s="548">
        <f t="shared" si="122"/>
        <v>0.11841306726758739</v>
      </c>
      <c r="BF92" s="548">
        <f t="shared" si="123"/>
        <v>3.9464317645491159E-2</v>
      </c>
      <c r="BG92" s="548">
        <f t="shared" si="124"/>
        <v>1.2484757243116469E-3</v>
      </c>
      <c r="BH92" s="548">
        <f t="shared" si="125"/>
        <v>4.26452777315717E-3</v>
      </c>
      <c r="BI92">
        <f t="shared" si="126"/>
        <v>3.48E-3</v>
      </c>
      <c r="BJ92" s="474">
        <f t="shared" si="144"/>
        <v>166.87038841054738</v>
      </c>
      <c r="BK92" s="181">
        <f t="shared" si="127"/>
        <v>9.1350000000000001E-2</v>
      </c>
      <c r="BL92" s="181">
        <f t="shared" si="128"/>
        <v>9.1350000000000001E-2</v>
      </c>
      <c r="BM92" s="548"/>
      <c r="BO92" s="474">
        <f t="shared" si="145"/>
        <v>182.7</v>
      </c>
      <c r="BP92" s="548">
        <f t="shared" si="129"/>
        <v>0</v>
      </c>
      <c r="BQ92" s="548">
        <f t="shared" si="130"/>
        <v>0</v>
      </c>
      <c r="BR92" s="548">
        <f t="shared" si="131"/>
        <v>3.1709696628932783E-2</v>
      </c>
      <c r="BS92" s="548">
        <f t="shared" si="132"/>
        <v>1.2620170810079545E-2</v>
      </c>
      <c r="BT92" s="658">
        <f t="shared" si="133"/>
        <v>0.22049329767068002</v>
      </c>
      <c r="BU92" s="474">
        <f t="shared" si="146"/>
        <v>264.82316510969235</v>
      </c>
      <c r="BV92" s="181">
        <f t="shared" si="147"/>
        <v>0.61439355352023972</v>
      </c>
      <c r="BW92" s="6">
        <f t="shared" si="148"/>
        <v>5.1948057439170316</v>
      </c>
      <c r="BX92" s="181">
        <f t="shared" si="149"/>
        <v>0.89423782485973935</v>
      </c>
      <c r="BY92" s="6">
        <f t="shared" si="150"/>
        <v>89.423782485973931</v>
      </c>
      <c r="BZ92">
        <f t="shared" si="151"/>
        <v>87.000000000000014</v>
      </c>
      <c r="CB92" s="583">
        <f t="shared" si="134"/>
        <v>-50</v>
      </c>
      <c r="CC92">
        <f t="shared" si="135"/>
        <v>-50</v>
      </c>
    </row>
    <row r="93" spans="5:81" x14ac:dyDescent="0.2">
      <c r="E93" s="178">
        <v>88</v>
      </c>
      <c r="F93" s="225">
        <f t="shared" si="152"/>
        <v>0.26400000000000001</v>
      </c>
      <c r="G93" s="225">
        <f t="shared" si="136"/>
        <v>0.26400000000000001</v>
      </c>
      <c r="H93" s="225">
        <f t="shared" si="91"/>
        <v>3.96</v>
      </c>
      <c r="I93" s="225">
        <f t="shared" si="153"/>
        <v>2.1120000000000001</v>
      </c>
      <c r="J93" s="561">
        <f t="shared" si="92"/>
        <v>12</v>
      </c>
      <c r="K93" s="456">
        <f t="shared" si="93"/>
        <v>11.074917503716863</v>
      </c>
      <c r="L93" s="456">
        <f t="shared" si="94"/>
        <v>27.25</v>
      </c>
      <c r="M93" s="456"/>
      <c r="N93" s="225">
        <f t="shared" si="95"/>
        <v>0.55963302752293576</v>
      </c>
      <c r="O93" s="180">
        <f t="shared" si="137"/>
        <v>2.8577782209812521</v>
      </c>
      <c r="P93" s="180">
        <f t="shared" si="96"/>
        <v>2.3370275229357795</v>
      </c>
      <c r="Q93" s="225">
        <f t="shared" si="97"/>
        <v>0.19051854806541682</v>
      </c>
      <c r="R93" s="225">
        <f t="shared" si="98"/>
        <v>0.35722227762265651</v>
      </c>
      <c r="S93" s="456">
        <f t="shared" si="99"/>
        <v>10.824917503716863</v>
      </c>
      <c r="T93" s="225">
        <f t="shared" si="100"/>
        <v>1.45</v>
      </c>
      <c r="U93" s="225">
        <f t="shared" si="101"/>
        <v>4.833333333333333</v>
      </c>
      <c r="V93" s="225">
        <f t="shared" si="102"/>
        <v>5.2370593262238359</v>
      </c>
      <c r="W93" s="205">
        <f t="shared" si="103"/>
        <v>350</v>
      </c>
      <c r="X93" s="456">
        <f t="shared" si="138"/>
        <v>99.300993894310935</v>
      </c>
      <c r="Z93" s="225">
        <f t="shared" si="104"/>
        <v>0.41138983184785954</v>
      </c>
      <c r="AA93" s="181">
        <f t="shared" si="105"/>
        <v>1.4858434176499919</v>
      </c>
      <c r="AB93" s="181">
        <f t="shared" si="106"/>
        <v>0.10697065290437385</v>
      </c>
      <c r="AC93" s="181"/>
      <c r="AD93" s="181">
        <f t="shared" si="107"/>
        <v>1.0474118652447673</v>
      </c>
      <c r="AE93" s="565">
        <f t="shared" si="108"/>
        <v>1738.2748043883782</v>
      </c>
      <c r="AF93" s="548">
        <f t="shared" si="109"/>
        <v>5.3156152161171928E-2</v>
      </c>
      <c r="AH93" s="181">
        <f t="shared" si="110"/>
        <v>0.93135845485429047</v>
      </c>
      <c r="AI93" s="181">
        <f t="shared" si="111"/>
        <v>1.45</v>
      </c>
      <c r="AJ93" s="181">
        <f t="shared" si="112"/>
        <v>2.0592592592592593</v>
      </c>
      <c r="AL93" s="565">
        <f t="shared" si="113"/>
        <v>264</v>
      </c>
      <c r="AM93" s="474">
        <f t="shared" si="114"/>
        <v>99.300993894310935</v>
      </c>
      <c r="AO93" t="str">
        <f t="shared" si="139"/>
        <v/>
      </c>
      <c r="AP93" t="str">
        <f t="shared" si="115"/>
        <v/>
      </c>
      <c r="AR93" s="6">
        <f t="shared" si="140"/>
        <v>10.070392659557168</v>
      </c>
      <c r="AS93" s="6">
        <f t="shared" si="116"/>
        <v>4.833333333333333</v>
      </c>
      <c r="AT93" s="6">
        <f t="shared" si="141"/>
        <v>5.237059326223835</v>
      </c>
      <c r="AU93" s="181">
        <f t="shared" si="142"/>
        <v>0.47995480382250283</v>
      </c>
      <c r="AW93" s="6">
        <f t="shared" si="117"/>
        <v>8.5066666666666677</v>
      </c>
      <c r="AX93" s="6">
        <f t="shared" si="118"/>
        <v>15.95</v>
      </c>
      <c r="AY93" s="6">
        <f t="shared" si="119"/>
        <v>3.2004251438034541</v>
      </c>
      <c r="AZ93" s="6"/>
      <c r="BA93" s="181">
        <f t="shared" si="143"/>
        <v>0.57997269333329027</v>
      </c>
      <c r="BB93" s="181">
        <f t="shared" si="120"/>
        <v>0.60370937405432312</v>
      </c>
      <c r="BC93" s="181">
        <f t="shared" si="121"/>
        <v>0.595172069774767</v>
      </c>
      <c r="BD93" s="181"/>
      <c r="BE93" s="548">
        <f t="shared" si="122"/>
        <v>0.11772891375429476</v>
      </c>
      <c r="BF93" s="548">
        <f t="shared" si="123"/>
        <v>3.9236305212489601E-2</v>
      </c>
      <c r="BG93" s="548">
        <f t="shared" si="124"/>
        <v>1.2412624236788866E-3</v>
      </c>
      <c r="BH93" s="548">
        <f t="shared" si="125"/>
        <v>4.239888671022045E-3</v>
      </c>
      <c r="BI93">
        <f t="shared" si="126"/>
        <v>3.48E-3</v>
      </c>
      <c r="BJ93" s="474">
        <f t="shared" si="144"/>
        <v>165.9263700614853</v>
      </c>
      <c r="BK93" s="181">
        <f t="shared" si="127"/>
        <v>9.2399999999999996E-2</v>
      </c>
      <c r="BL93" s="181">
        <f t="shared" si="128"/>
        <v>9.2399999999999996E-2</v>
      </c>
      <c r="BM93" s="548"/>
      <c r="BO93" s="474">
        <f t="shared" si="145"/>
        <v>184.79999999999998</v>
      </c>
      <c r="BP93" s="548">
        <f t="shared" si="129"/>
        <v>0</v>
      </c>
      <c r="BQ93" s="548">
        <f t="shared" si="130"/>
        <v>0</v>
      </c>
      <c r="BR93" s="548">
        <f t="shared" si="131"/>
        <v>3.1880681337598207E-2</v>
      </c>
      <c r="BS93" s="548">
        <f t="shared" si="132"/>
        <v>1.2438671494517729E-2</v>
      </c>
      <c r="BT93" s="658">
        <f t="shared" si="133"/>
        <v>0.21921935664592823</v>
      </c>
      <c r="BU93" s="474">
        <f t="shared" si="146"/>
        <v>263.53870947804415</v>
      </c>
      <c r="BV93" s="181">
        <f t="shared" si="147"/>
        <v>0.61426507953952947</v>
      </c>
      <c r="BW93" s="6">
        <f t="shared" si="148"/>
        <v>5.1948057439170316</v>
      </c>
      <c r="BX93" s="181">
        <f t="shared" si="149"/>
        <v>0.89425760191127701</v>
      </c>
      <c r="BY93" s="6">
        <f t="shared" si="150"/>
        <v>89.425760191127708</v>
      </c>
      <c r="BZ93">
        <f t="shared" si="151"/>
        <v>88.000000000000014</v>
      </c>
      <c r="CB93" s="583">
        <f t="shared" si="134"/>
        <v>-50</v>
      </c>
      <c r="CC93">
        <f t="shared" si="135"/>
        <v>-50</v>
      </c>
    </row>
    <row r="94" spans="5:81" x14ac:dyDescent="0.2">
      <c r="E94" s="178">
        <v>89</v>
      </c>
      <c r="F94" s="225">
        <f t="shared" si="152"/>
        <v>0.26700000000000002</v>
      </c>
      <c r="G94" s="225">
        <f t="shared" si="136"/>
        <v>0.26700000000000002</v>
      </c>
      <c r="H94" s="225">
        <f t="shared" si="91"/>
        <v>4.0049999999999999</v>
      </c>
      <c r="I94" s="225">
        <f t="shared" si="153"/>
        <v>2.1360000000000001</v>
      </c>
      <c r="J94" s="561">
        <f t="shared" si="92"/>
        <v>12</v>
      </c>
      <c r="K94" s="456">
        <f t="shared" si="93"/>
        <v>10.953289217158247</v>
      </c>
      <c r="L94" s="456">
        <f t="shared" si="94"/>
        <v>27.25</v>
      </c>
      <c r="M94" s="456"/>
      <c r="N94" s="225">
        <f t="shared" si="95"/>
        <v>0.55963302752293576</v>
      </c>
      <c r="O94" s="180">
        <f t="shared" si="137"/>
        <v>2.8577782209812521</v>
      </c>
      <c r="P94" s="180">
        <f t="shared" si="96"/>
        <v>2.3370275229357795</v>
      </c>
      <c r="Q94" s="225">
        <f t="shared" si="97"/>
        <v>0.19051854806541682</v>
      </c>
      <c r="R94" s="225">
        <f t="shared" si="98"/>
        <v>0.35722227762265651</v>
      </c>
      <c r="S94" s="456">
        <f t="shared" si="99"/>
        <v>10.703289217158247</v>
      </c>
      <c r="T94" s="225">
        <f t="shared" si="100"/>
        <v>1.45</v>
      </c>
      <c r="U94" s="225">
        <f t="shared" si="101"/>
        <v>4.833333333333333</v>
      </c>
      <c r="V94" s="225">
        <f t="shared" si="102"/>
        <v>5.2952130497150964</v>
      </c>
      <c r="W94" s="205">
        <f t="shared" si="103"/>
        <v>350</v>
      </c>
      <c r="X94" s="456">
        <f t="shared" si="138"/>
        <v>98.730850625677434</v>
      </c>
      <c r="Z94" s="225">
        <f t="shared" si="104"/>
        <v>0.40902780973494934</v>
      </c>
      <c r="AA94" s="181">
        <f t="shared" si="105"/>
        <v>1.4937168246930257</v>
      </c>
      <c r="AB94" s="181">
        <f t="shared" si="106"/>
        <v>0.10692005120447552</v>
      </c>
      <c r="AC94" s="181"/>
      <c r="AD94" s="181">
        <f t="shared" si="107"/>
        <v>1.0590426099430195</v>
      </c>
      <c r="AE94" s="565">
        <f t="shared" si="108"/>
        <v>1738.7207021291629</v>
      </c>
      <c r="AF94" s="548">
        <f t="shared" si="109"/>
        <v>5.3746412454608233E-2</v>
      </c>
      <c r="AH94" s="181">
        <f t="shared" si="110"/>
        <v>0.93663531552345081</v>
      </c>
      <c r="AI94" s="181">
        <f t="shared" si="111"/>
        <v>1.45</v>
      </c>
      <c r="AJ94" s="181">
        <f t="shared" si="112"/>
        <v>2.0592592592592593</v>
      </c>
      <c r="AL94" s="565">
        <f t="shared" si="113"/>
        <v>267</v>
      </c>
      <c r="AM94" s="474">
        <f t="shared" si="114"/>
        <v>98.730850625677434</v>
      </c>
      <c r="AO94" t="str">
        <f t="shared" si="139"/>
        <v/>
      </c>
      <c r="AP94" t="str">
        <f t="shared" si="115"/>
        <v/>
      </c>
      <c r="AR94" s="6">
        <f t="shared" si="140"/>
        <v>10.12854638304843</v>
      </c>
      <c r="AS94" s="6">
        <f t="shared" si="116"/>
        <v>4.833333333333333</v>
      </c>
      <c r="AT94" s="6">
        <f t="shared" si="141"/>
        <v>5.2952130497150973</v>
      </c>
      <c r="AU94" s="181">
        <f t="shared" si="142"/>
        <v>0.47719911135744086</v>
      </c>
      <c r="AW94" s="6">
        <f t="shared" si="117"/>
        <v>8.6033333333333335</v>
      </c>
      <c r="AX94" s="6">
        <f t="shared" si="118"/>
        <v>16.131250000000001</v>
      </c>
      <c r="AY94" s="6">
        <f t="shared" si="119"/>
        <v>3.2727358432266915</v>
      </c>
      <c r="AZ94" s="6"/>
      <c r="BA94" s="181">
        <f t="shared" si="143"/>
        <v>0.57830532063637441</v>
      </c>
      <c r="BB94" s="181">
        <f t="shared" si="120"/>
        <v>0.6053067730143068</v>
      </c>
      <c r="BC94" s="181">
        <f t="shared" si="121"/>
        <v>0.59674687925450853</v>
      </c>
      <c r="BD94" s="181"/>
      <c r="BE94" s="548">
        <f t="shared" si="122"/>
        <v>0.11705296535671893</v>
      </c>
      <c r="BF94" s="548">
        <f t="shared" si="123"/>
        <v>3.9011027353470791E-2</v>
      </c>
      <c r="BG94" s="548">
        <f t="shared" si="124"/>
        <v>1.2341356328209679E-3</v>
      </c>
      <c r="BH94" s="548">
        <f t="shared" si="125"/>
        <v>4.2155450678944516E-3</v>
      </c>
      <c r="BI94">
        <f t="shared" si="126"/>
        <v>3.48E-3</v>
      </c>
      <c r="BJ94" s="474">
        <f t="shared" si="144"/>
        <v>164.99367341090516</v>
      </c>
      <c r="BK94" s="181">
        <f t="shared" si="127"/>
        <v>9.3450000000000005E-2</v>
      </c>
      <c r="BL94" s="181">
        <f t="shared" si="128"/>
        <v>9.3450000000000005E-2</v>
      </c>
      <c r="BM94" s="548"/>
      <c r="BO94" s="474">
        <f t="shared" si="145"/>
        <v>186.9</v>
      </c>
      <c r="BP94" s="548">
        <f t="shared" si="129"/>
        <v>0</v>
      </c>
      <c r="BQ94" s="548">
        <f t="shared" si="130"/>
        <v>0</v>
      </c>
      <c r="BR94" s="548">
        <f t="shared" si="131"/>
        <v>3.2049615410999543E-2</v>
      </c>
      <c r="BS94" s="548">
        <f t="shared" si="132"/>
        <v>1.2260895946852996E-2</v>
      </c>
      <c r="BT94" s="658">
        <f t="shared" si="133"/>
        <v>0.21796069411251118</v>
      </c>
      <c r="BU94" s="474">
        <f t="shared" si="146"/>
        <v>262.27120547036372</v>
      </c>
      <c r="BV94" s="181">
        <f t="shared" si="147"/>
        <v>0.61416487888126881</v>
      </c>
      <c r="BW94" s="6">
        <f t="shared" si="148"/>
        <v>5.1948057439170316</v>
      </c>
      <c r="BX94" s="181">
        <f t="shared" si="149"/>
        <v>0.8942730272260504</v>
      </c>
      <c r="BY94" s="6">
        <f t="shared" si="150"/>
        <v>89.427302722605035</v>
      </c>
      <c r="BZ94">
        <f t="shared" si="151"/>
        <v>89.000000000000014</v>
      </c>
      <c r="CB94" s="583">
        <f t="shared" si="134"/>
        <v>-50</v>
      </c>
      <c r="CC94">
        <f t="shared" si="135"/>
        <v>-50</v>
      </c>
    </row>
    <row r="95" spans="5:81" x14ac:dyDescent="0.2">
      <c r="E95" s="178">
        <v>90</v>
      </c>
      <c r="F95" s="225">
        <f t="shared" si="152"/>
        <v>0.27</v>
      </c>
      <c r="G95" s="225">
        <f t="shared" si="136"/>
        <v>0.27</v>
      </c>
      <c r="H95" s="225">
        <f t="shared" si="91"/>
        <v>4.0500000000000007</v>
      </c>
      <c r="I95" s="225">
        <f t="shared" si="153"/>
        <v>2.16</v>
      </c>
      <c r="J95" s="561">
        <f t="shared" si="92"/>
        <v>12</v>
      </c>
      <c r="K95" s="456">
        <f t="shared" si="93"/>
        <v>10.834363781412044</v>
      </c>
      <c r="L95" s="456">
        <f t="shared" si="94"/>
        <v>27.25</v>
      </c>
      <c r="M95" s="456"/>
      <c r="N95" s="225">
        <f t="shared" si="95"/>
        <v>0.55963302752293576</v>
      </c>
      <c r="O95" s="180">
        <f t="shared" si="137"/>
        <v>2.8577782209812521</v>
      </c>
      <c r="P95" s="180">
        <f t="shared" si="96"/>
        <v>2.3370275229357795</v>
      </c>
      <c r="Q95" s="225">
        <f t="shared" si="97"/>
        <v>0.19051854806541682</v>
      </c>
      <c r="R95" s="225">
        <f t="shared" si="98"/>
        <v>0.35722227762265651</v>
      </c>
      <c r="S95" s="456">
        <f t="shared" si="99"/>
        <v>10.584363781412044</v>
      </c>
      <c r="T95" s="225">
        <f t="shared" si="100"/>
        <v>1.45</v>
      </c>
      <c r="U95" s="225">
        <f t="shared" si="101"/>
        <v>4.833333333333333</v>
      </c>
      <c r="V95" s="225">
        <f t="shared" si="102"/>
        <v>5.3533369536204409</v>
      </c>
      <c r="W95" s="205">
        <f t="shared" si="103"/>
        <v>350</v>
      </c>
      <c r="X95" s="456">
        <f t="shared" si="138"/>
        <v>98.167504378807223</v>
      </c>
      <c r="Z95" s="225">
        <f t="shared" si="104"/>
        <v>0.40669394671220127</v>
      </c>
      <c r="AA95" s="181">
        <f t="shared" si="105"/>
        <v>1.501496368102186</v>
      </c>
      <c r="AB95" s="181">
        <f t="shared" si="106"/>
        <v>0.10686365968556498</v>
      </c>
      <c r="AC95" s="181"/>
      <c r="AD95" s="181">
        <f t="shared" si="107"/>
        <v>1.0706673907240882</v>
      </c>
      <c r="AE95" s="565">
        <f t="shared" si="108"/>
        <v>1739.166599869948</v>
      </c>
      <c r="AF95" s="548">
        <f t="shared" si="109"/>
        <v>5.4336370079247479E-2</v>
      </c>
      <c r="AH95" s="181">
        <f t="shared" si="110"/>
        <v>0.94188261325011047</v>
      </c>
      <c r="AI95" s="181">
        <f t="shared" si="111"/>
        <v>1.45</v>
      </c>
      <c r="AJ95" s="181">
        <f t="shared" si="112"/>
        <v>2.0592592592592593</v>
      </c>
      <c r="AL95" s="565">
        <f t="shared" si="113"/>
        <v>270</v>
      </c>
      <c r="AM95" s="474">
        <f t="shared" si="114"/>
        <v>98.167504378807223</v>
      </c>
      <c r="AO95" t="str">
        <f t="shared" si="139"/>
        <v/>
      </c>
      <c r="AP95" t="str">
        <f t="shared" si="115"/>
        <v/>
      </c>
      <c r="AR95" s="6">
        <f t="shared" si="140"/>
        <v>10.186670286953774</v>
      </c>
      <c r="AS95" s="6">
        <f t="shared" si="116"/>
        <v>4.833333333333333</v>
      </c>
      <c r="AT95" s="6">
        <f t="shared" si="141"/>
        <v>5.3533369536204409</v>
      </c>
      <c r="AU95" s="181">
        <f t="shared" si="142"/>
        <v>0.47447627116423485</v>
      </c>
      <c r="AW95" s="6">
        <f t="shared" si="117"/>
        <v>8.6999999999999993</v>
      </c>
      <c r="AX95" s="6">
        <f t="shared" si="118"/>
        <v>16.3125</v>
      </c>
      <c r="AY95" s="6">
        <f t="shared" si="119"/>
        <v>3.3458355960127757</v>
      </c>
      <c r="AZ95" s="6"/>
      <c r="BA95" s="181">
        <f t="shared" si="143"/>
        <v>0.57665309043444934</v>
      </c>
      <c r="BB95" s="181">
        <f t="shared" si="120"/>
        <v>0.60688099873511614</v>
      </c>
      <c r="BC95" s="181">
        <f t="shared" si="121"/>
        <v>0.59829884319744786</v>
      </c>
      <c r="BD95" s="181"/>
      <c r="BE95" s="548">
        <f t="shared" si="122"/>
        <v>0.11638507534766042</v>
      </c>
      <c r="BF95" s="548">
        <f t="shared" si="123"/>
        <v>3.8788435167676195E-2</v>
      </c>
      <c r="BG95" s="548">
        <f t="shared" si="124"/>
        <v>1.2270938047350903E-3</v>
      </c>
      <c r="BH95" s="548">
        <f t="shared" si="125"/>
        <v>4.1914916795415622E-3</v>
      </c>
      <c r="BI95">
        <f t="shared" si="126"/>
        <v>3.48E-3</v>
      </c>
      <c r="BJ95" s="474">
        <f t="shared" si="144"/>
        <v>164.07209599961328</v>
      </c>
      <c r="BK95" s="181">
        <f t="shared" si="127"/>
        <v>9.4500000000000001E-2</v>
      </c>
      <c r="BL95" s="181">
        <f t="shared" si="128"/>
        <v>9.4500000000000001E-2</v>
      </c>
      <c r="BM95" s="548"/>
      <c r="BO95" s="474">
        <f t="shared" si="145"/>
        <v>189</v>
      </c>
      <c r="BP95" s="548">
        <f t="shared" si="129"/>
        <v>0</v>
      </c>
      <c r="BQ95" s="548">
        <f t="shared" si="130"/>
        <v>0</v>
      </c>
      <c r="BR95" s="548">
        <f t="shared" si="131"/>
        <v>3.2216535519426381E-2</v>
      </c>
      <c r="BS95" s="548">
        <f t="shared" si="132"/>
        <v>1.2086745735236758E-2</v>
      </c>
      <c r="BT95" s="658">
        <f t="shared" si="133"/>
        <v>0.21671703685426433</v>
      </c>
      <c r="BU95" s="474">
        <f t="shared" si="146"/>
        <v>261.02031810892743</v>
      </c>
      <c r="BV95" s="181">
        <f t="shared" si="147"/>
        <v>0.61409241410854076</v>
      </c>
      <c r="BW95" s="6">
        <f t="shared" si="148"/>
        <v>5.1948057439170316</v>
      </c>
      <c r="BX95" s="181">
        <f t="shared" si="149"/>
        <v>0.89428418309243196</v>
      </c>
      <c r="BY95" s="6">
        <f t="shared" si="150"/>
        <v>89.428418309243199</v>
      </c>
      <c r="BZ95">
        <f t="shared" si="151"/>
        <v>90.000000000000014</v>
      </c>
      <c r="CB95" s="583">
        <f t="shared" si="134"/>
        <v>-50</v>
      </c>
      <c r="CC95">
        <f t="shared" si="135"/>
        <v>-50</v>
      </c>
    </row>
    <row r="96" spans="5:81" x14ac:dyDescent="0.2">
      <c r="E96" s="178">
        <v>91</v>
      </c>
      <c r="F96" s="225">
        <f t="shared" si="152"/>
        <v>0.27300000000000002</v>
      </c>
      <c r="G96" s="225">
        <f t="shared" si="136"/>
        <v>0.27300000000000002</v>
      </c>
      <c r="H96" s="225">
        <f t="shared" si="91"/>
        <v>4.0950000000000006</v>
      </c>
      <c r="I96" s="225">
        <f t="shared" si="153"/>
        <v>2.1840000000000002</v>
      </c>
      <c r="J96" s="561">
        <f t="shared" si="92"/>
        <v>12</v>
      </c>
      <c r="K96" s="456">
        <f t="shared" si="93"/>
        <v>10.718052091506417</v>
      </c>
      <c r="L96" s="456">
        <f t="shared" si="94"/>
        <v>27.25</v>
      </c>
      <c r="M96" s="456"/>
      <c r="N96" s="225">
        <f t="shared" si="95"/>
        <v>0.55963302752293576</v>
      </c>
      <c r="O96" s="180">
        <f t="shared" si="137"/>
        <v>2.8577782209812521</v>
      </c>
      <c r="P96" s="180">
        <f t="shared" si="96"/>
        <v>2.3370275229357795</v>
      </c>
      <c r="Q96" s="225">
        <f t="shared" si="97"/>
        <v>0.19051854806541682</v>
      </c>
      <c r="R96" s="225">
        <f t="shared" si="98"/>
        <v>0.35722227762265651</v>
      </c>
      <c r="S96" s="456">
        <f t="shared" si="99"/>
        <v>10.468052091506417</v>
      </c>
      <c r="T96" s="225">
        <f t="shared" si="100"/>
        <v>1.45</v>
      </c>
      <c r="U96" s="225">
        <f t="shared" si="101"/>
        <v>4.833333333333333</v>
      </c>
      <c r="V96" s="225">
        <f t="shared" si="102"/>
        <v>5.4114310608699547</v>
      </c>
      <c r="W96" s="205">
        <f t="shared" si="103"/>
        <v>350</v>
      </c>
      <c r="X96" s="456">
        <f t="shared" si="138"/>
        <v>97.610834326831565</v>
      </c>
      <c r="Z96" s="225">
        <f t="shared" si="104"/>
        <v>0.40438774221115931</v>
      </c>
      <c r="AA96" s="181">
        <f t="shared" si="105"/>
        <v>1.5091837164389927</v>
      </c>
      <c r="AB96" s="181">
        <f t="shared" si="106"/>
        <v>0.10680169424270687</v>
      </c>
      <c r="AC96" s="181"/>
      <c r="AD96" s="181">
        <f t="shared" si="107"/>
        <v>1.0822862121739909</v>
      </c>
      <c r="AE96" s="565">
        <f t="shared" si="108"/>
        <v>1739.6124976107324</v>
      </c>
      <c r="AF96" s="548">
        <f t="shared" si="109"/>
        <v>5.4926025267830039E-2</v>
      </c>
      <c r="AH96" s="181">
        <f t="shared" si="110"/>
        <v>0.94710083940412593</v>
      </c>
      <c r="AI96" s="181">
        <f t="shared" si="111"/>
        <v>1.45</v>
      </c>
      <c r="AJ96" s="181">
        <f t="shared" si="112"/>
        <v>2.0592592592592593</v>
      </c>
      <c r="AL96" s="565">
        <f t="shared" si="113"/>
        <v>273</v>
      </c>
      <c r="AM96" s="474">
        <f t="shared" si="114"/>
        <v>97.610834326831565</v>
      </c>
      <c r="AO96" t="str">
        <f t="shared" si="139"/>
        <v/>
      </c>
      <c r="AP96" t="str">
        <f t="shared" si="115"/>
        <v/>
      </c>
      <c r="AR96" s="6">
        <f t="shared" si="140"/>
        <v>10.244764394203287</v>
      </c>
      <c r="AS96" s="6">
        <f t="shared" si="116"/>
        <v>4.833333333333333</v>
      </c>
      <c r="AT96" s="6">
        <f t="shared" si="141"/>
        <v>5.4114310608699538</v>
      </c>
      <c r="AU96" s="181">
        <f t="shared" si="142"/>
        <v>0.47178569924635255</v>
      </c>
      <c r="AW96" s="6">
        <f t="shared" si="117"/>
        <v>8.7966666666666686</v>
      </c>
      <c r="AX96" s="6">
        <f t="shared" si="118"/>
        <v>16.493750000000002</v>
      </c>
      <c r="AY96" s="6">
        <f t="shared" si="119"/>
        <v>3.4197237954108735</v>
      </c>
      <c r="AZ96" s="6"/>
      <c r="BA96" s="181">
        <f t="shared" si="143"/>
        <v>0.57501577736773335</v>
      </c>
      <c r="BB96" s="181">
        <f t="shared" si="120"/>
        <v>0.60843256743168717</v>
      </c>
      <c r="BC96" s="181">
        <f t="shared" si="121"/>
        <v>0.59982847051851185</v>
      </c>
      <c r="BD96" s="181"/>
      <c r="BE96" s="548">
        <f t="shared" si="122"/>
        <v>0.11572510047763652</v>
      </c>
      <c r="BF96" s="548">
        <f t="shared" si="123"/>
        <v>3.8568480913389318E-2</v>
      </c>
      <c r="BG96" s="548">
        <f t="shared" si="124"/>
        <v>1.2201354290853946E-3</v>
      </c>
      <c r="BH96" s="548">
        <f t="shared" si="125"/>
        <v>4.1677233469770269E-3</v>
      </c>
      <c r="BI96">
        <f t="shared" si="126"/>
        <v>3.48E-3</v>
      </c>
      <c r="BJ96" s="474">
        <f t="shared" si="144"/>
        <v>163.16144016708824</v>
      </c>
      <c r="BK96" s="181">
        <f t="shared" si="127"/>
        <v>9.5549999999999996E-2</v>
      </c>
      <c r="BL96" s="181">
        <f t="shared" si="128"/>
        <v>9.5549999999999996E-2</v>
      </c>
      <c r="BM96" s="548"/>
      <c r="BO96" s="474">
        <f t="shared" si="145"/>
        <v>191.1</v>
      </c>
      <c r="BP96" s="548">
        <f t="shared" si="129"/>
        <v>0</v>
      </c>
      <c r="BQ96" s="548">
        <f t="shared" si="130"/>
        <v>0</v>
      </c>
      <c r="BR96" s="548">
        <f t="shared" si="131"/>
        <v>3.2381477464011953E-2</v>
      </c>
      <c r="BS96" s="548">
        <f t="shared" si="132"/>
        <v>1.1916125600748683E-2</v>
      </c>
      <c r="BT96" s="658">
        <f t="shared" si="133"/>
        <v>0.21548811813077157</v>
      </c>
      <c r="BU96" s="474">
        <f t="shared" si="146"/>
        <v>259.78572119553223</v>
      </c>
      <c r="BV96" s="181">
        <f t="shared" si="147"/>
        <v>0.61404716136262039</v>
      </c>
      <c r="BW96" s="6">
        <f t="shared" si="148"/>
        <v>5.1948057439170316</v>
      </c>
      <c r="BX96" s="181">
        <f t="shared" si="149"/>
        <v>0.89429114984052804</v>
      </c>
      <c r="BY96" s="6">
        <f t="shared" si="150"/>
        <v>89.429114984052802</v>
      </c>
      <c r="BZ96">
        <f t="shared" si="151"/>
        <v>91.000000000000014</v>
      </c>
      <c r="CB96" s="583">
        <f t="shared" si="134"/>
        <v>-50</v>
      </c>
      <c r="CC96">
        <f t="shared" si="135"/>
        <v>-50</v>
      </c>
    </row>
    <row r="97" spans="5:81" x14ac:dyDescent="0.2">
      <c r="E97" s="178">
        <v>92</v>
      </c>
      <c r="F97" s="225">
        <f t="shared" si="152"/>
        <v>0.27600000000000002</v>
      </c>
      <c r="G97" s="225">
        <f t="shared" si="136"/>
        <v>0.27600000000000002</v>
      </c>
      <c r="H97" s="225">
        <f t="shared" si="91"/>
        <v>4.1400000000000006</v>
      </c>
      <c r="I97" s="225">
        <f t="shared" si="153"/>
        <v>2.2080000000000002</v>
      </c>
      <c r="J97" s="561">
        <f t="shared" si="92"/>
        <v>12</v>
      </c>
      <c r="K97" s="456">
        <f t="shared" si="93"/>
        <v>10.604268916598739</v>
      </c>
      <c r="L97" s="456">
        <f t="shared" si="94"/>
        <v>27.25</v>
      </c>
      <c r="M97" s="456"/>
      <c r="N97" s="225">
        <f t="shared" si="95"/>
        <v>0.55963302752293576</v>
      </c>
      <c r="O97" s="180">
        <f t="shared" si="137"/>
        <v>2.8577782209812521</v>
      </c>
      <c r="P97" s="180">
        <f t="shared" si="96"/>
        <v>2.3370275229357795</v>
      </c>
      <c r="Q97" s="225">
        <f t="shared" si="97"/>
        <v>0.19051854806541682</v>
      </c>
      <c r="R97" s="225">
        <f t="shared" si="98"/>
        <v>0.35722227762265651</v>
      </c>
      <c r="S97" s="456">
        <f t="shared" si="99"/>
        <v>10.354268916598739</v>
      </c>
      <c r="T97" s="225">
        <f t="shared" si="100"/>
        <v>1.45</v>
      </c>
      <c r="U97" s="225">
        <f t="shared" si="101"/>
        <v>4.833333333333333</v>
      </c>
      <c r="V97" s="225">
        <f t="shared" si="102"/>
        <v>5.4694953943702114</v>
      </c>
      <c r="W97" s="205">
        <f t="shared" si="103"/>
        <v>350</v>
      </c>
      <c r="X97" s="456">
        <f t="shared" si="138"/>
        <v>97.060722489841453</v>
      </c>
      <c r="Z97" s="225">
        <f t="shared" si="104"/>
        <v>0.40210870745791449</v>
      </c>
      <c r="AA97" s="181">
        <f t="shared" si="105"/>
        <v>1.5167804989498084</v>
      </c>
      <c r="AB97" s="181">
        <f t="shared" si="106"/>
        <v>0.10673436303776365</v>
      </c>
      <c r="AC97" s="181"/>
      <c r="AD97" s="181">
        <f t="shared" si="107"/>
        <v>1.0938990788740424</v>
      </c>
      <c r="AE97" s="565">
        <f t="shared" si="108"/>
        <v>1740.0583953515174</v>
      </c>
      <c r="AF97" s="548">
        <f t="shared" si="109"/>
        <v>5.5515378252857649E-2</v>
      </c>
      <c r="AH97" s="181">
        <f t="shared" si="110"/>
        <v>0.95229047189244875</v>
      </c>
      <c r="AI97" s="181">
        <f t="shared" si="111"/>
        <v>1.45</v>
      </c>
      <c r="AJ97" s="181">
        <f t="shared" si="112"/>
        <v>2.0592592592592593</v>
      </c>
      <c r="AL97" s="565">
        <f t="shared" si="113"/>
        <v>276</v>
      </c>
      <c r="AM97" s="474">
        <f t="shared" si="114"/>
        <v>97.060722489841453</v>
      </c>
      <c r="AO97" t="str">
        <f t="shared" si="139"/>
        <v/>
      </c>
      <c r="AP97" t="str">
        <f t="shared" si="115"/>
        <v/>
      </c>
      <c r="AR97" s="6">
        <f t="shared" si="140"/>
        <v>10.302828727703545</v>
      </c>
      <c r="AS97" s="6">
        <f t="shared" si="116"/>
        <v>4.833333333333333</v>
      </c>
      <c r="AT97" s="6">
        <f t="shared" si="141"/>
        <v>5.4694953943702123</v>
      </c>
      <c r="AU97" s="181">
        <f t="shared" si="142"/>
        <v>0.46912682536756695</v>
      </c>
      <c r="AW97" s="6">
        <f t="shared" si="117"/>
        <v>8.8933333333333344</v>
      </c>
      <c r="AX97" s="6">
        <f t="shared" si="118"/>
        <v>16.675000000000001</v>
      </c>
      <c r="AY97" s="6">
        <f t="shared" si="119"/>
        <v>3.49439983529208</v>
      </c>
      <c r="AZ97" s="6"/>
      <c r="BA97" s="181">
        <f t="shared" si="143"/>
        <v>0.57339316073566526</v>
      </c>
      <c r="BB97" s="181">
        <f t="shared" si="120"/>
        <v>0.6099619795978245</v>
      </c>
      <c r="BC97" s="181">
        <f t="shared" si="121"/>
        <v>0.60133625463381479</v>
      </c>
      <c r="BD97" s="181"/>
      <c r="BE97" s="548">
        <f t="shared" si="122"/>
        <v>0.11507290087245275</v>
      </c>
      <c r="BF97" s="548">
        <f t="shared" si="123"/>
        <v>3.8351117973798601E-2</v>
      </c>
      <c r="BG97" s="548">
        <f t="shared" si="124"/>
        <v>1.213259031123018E-3</v>
      </c>
      <c r="BH97" s="548">
        <f t="shared" si="125"/>
        <v>4.1442350327721162E-3</v>
      </c>
      <c r="BI97">
        <f t="shared" si="126"/>
        <v>3.48E-3</v>
      </c>
      <c r="BJ97" s="474">
        <f t="shared" si="144"/>
        <v>162.26151291014648</v>
      </c>
      <c r="BK97" s="181">
        <f t="shared" si="127"/>
        <v>9.6600000000000005E-2</v>
      </c>
      <c r="BL97" s="181">
        <f t="shared" si="128"/>
        <v>9.6600000000000005E-2</v>
      </c>
      <c r="BM97" s="548"/>
      <c r="BO97" s="474">
        <f t="shared" si="145"/>
        <v>193.20000000000002</v>
      </c>
      <c r="BP97" s="548">
        <f t="shared" si="129"/>
        <v>0</v>
      </c>
      <c r="BQ97" s="548">
        <f t="shared" si="130"/>
        <v>0</v>
      </c>
      <c r="BR97" s="548">
        <f t="shared" si="131"/>
        <v>3.2544476202332175E-2</v>
      </c>
      <c r="BS97" s="548">
        <f t="shared" si="132"/>
        <v>1.1748943336992638E-2</v>
      </c>
      <c r="BT97" s="658">
        <f t="shared" si="133"/>
        <v>0.21427367748663628</v>
      </c>
      <c r="BU97" s="474">
        <f t="shared" si="146"/>
        <v>258.56709702596112</v>
      </c>
      <c r="BV97" s="181">
        <f t="shared" si="147"/>
        <v>0.61402860993610764</v>
      </c>
      <c r="BW97" s="6">
        <f t="shared" si="148"/>
        <v>5.1948057439170316</v>
      </c>
      <c r="BX97" s="181">
        <f t="shared" si="149"/>
        <v>0.89429400590002917</v>
      </c>
      <c r="BY97" s="6">
        <f t="shared" si="150"/>
        <v>89.429400590002913</v>
      </c>
      <c r="BZ97">
        <f t="shared" si="151"/>
        <v>92.000000000000014</v>
      </c>
      <c r="CB97" s="583">
        <f t="shared" si="134"/>
        <v>-50</v>
      </c>
      <c r="CC97">
        <f t="shared" si="135"/>
        <v>-50</v>
      </c>
    </row>
    <row r="98" spans="5:81" x14ac:dyDescent="0.2">
      <c r="E98" s="178">
        <v>93</v>
      </c>
      <c r="F98" s="225">
        <f t="shared" si="152"/>
        <v>0.27900000000000003</v>
      </c>
      <c r="G98" s="225">
        <f t="shared" si="136"/>
        <v>0.27900000000000003</v>
      </c>
      <c r="H98" s="225">
        <f t="shared" si="91"/>
        <v>4.1850000000000005</v>
      </c>
      <c r="I98" s="225">
        <f t="shared" si="153"/>
        <v>2.2320000000000002</v>
      </c>
      <c r="J98" s="561">
        <f t="shared" si="92"/>
        <v>12</v>
      </c>
      <c r="K98" s="456">
        <f t="shared" si="93"/>
        <v>10.492932691689075</v>
      </c>
      <c r="L98" s="456">
        <f t="shared" si="94"/>
        <v>27.25</v>
      </c>
      <c r="M98" s="456"/>
      <c r="N98" s="225">
        <f t="shared" si="95"/>
        <v>0.55963302752293576</v>
      </c>
      <c r="O98" s="180">
        <f t="shared" si="137"/>
        <v>2.8577782209812521</v>
      </c>
      <c r="P98" s="180">
        <f t="shared" si="96"/>
        <v>2.3370275229357795</v>
      </c>
      <c r="Q98" s="225">
        <f t="shared" si="97"/>
        <v>0.19051854806541682</v>
      </c>
      <c r="R98" s="225">
        <f t="shared" si="98"/>
        <v>0.35722227762265651</v>
      </c>
      <c r="S98" s="456">
        <f t="shared" si="99"/>
        <v>10.242932691689075</v>
      </c>
      <c r="T98" s="225">
        <f t="shared" si="100"/>
        <v>1.45</v>
      </c>
      <c r="U98" s="225">
        <f t="shared" si="101"/>
        <v>4.833333333333333</v>
      </c>
      <c r="V98" s="225">
        <f t="shared" si="102"/>
        <v>5.5275299770043205</v>
      </c>
      <c r="W98" s="205">
        <f t="shared" si="103"/>
        <v>350</v>
      </c>
      <c r="X98" s="456">
        <f t="shared" si="138"/>
        <v>96.517053651527306</v>
      </c>
      <c r="Z98" s="225">
        <f t="shared" si="104"/>
        <v>0.39985636512775585</v>
      </c>
      <c r="AA98" s="181">
        <f t="shared" si="105"/>
        <v>1.5242883067170039</v>
      </c>
      <c r="AB98" s="181">
        <f t="shared" si="106"/>
        <v>0.10666186680285553</v>
      </c>
      <c r="AC98" s="181"/>
      <c r="AD98" s="181">
        <f t="shared" si="107"/>
        <v>1.1055059954008641</v>
      </c>
      <c r="AE98" s="565">
        <f t="shared" si="108"/>
        <v>1740.5042930923023</v>
      </c>
      <c r="AF98" s="548">
        <f t="shared" si="109"/>
        <v>5.6104429266593855E-2</v>
      </c>
      <c r="AH98" s="181">
        <f t="shared" si="110"/>
        <v>0.95745197566994744</v>
      </c>
      <c r="AI98" s="181">
        <f t="shared" si="111"/>
        <v>1.45</v>
      </c>
      <c r="AJ98" s="181">
        <f t="shared" si="112"/>
        <v>2.0592592592592593</v>
      </c>
      <c r="AL98" s="565">
        <f t="shared" si="113"/>
        <v>279</v>
      </c>
      <c r="AM98" s="474">
        <f t="shared" si="114"/>
        <v>96.517053651527306</v>
      </c>
      <c r="AO98" t="str">
        <f t="shared" si="139"/>
        <v/>
      </c>
      <c r="AP98" t="str">
        <f t="shared" si="115"/>
        <v/>
      </c>
      <c r="AR98" s="6">
        <f t="shared" si="140"/>
        <v>10.360863310337653</v>
      </c>
      <c r="AS98" s="6">
        <f t="shared" si="116"/>
        <v>4.833333333333333</v>
      </c>
      <c r="AT98" s="6">
        <f t="shared" si="141"/>
        <v>5.5275299770043196</v>
      </c>
      <c r="AU98" s="181">
        <f t="shared" si="142"/>
        <v>0.4664990926490486</v>
      </c>
      <c r="AW98" s="6">
        <f t="shared" si="117"/>
        <v>8.99</v>
      </c>
      <c r="AX98" s="6">
        <f t="shared" si="118"/>
        <v>16.856249999999999</v>
      </c>
      <c r="AY98" s="6">
        <f t="shared" si="119"/>
        <v>3.5698631101486229</v>
      </c>
      <c r="AZ98" s="6"/>
      <c r="BA98" s="181">
        <f t="shared" si="143"/>
        <v>0.57178502437385348</v>
      </c>
      <c r="BB98" s="181">
        <f t="shared" si="120"/>
        <v>0.61146972062001981</v>
      </c>
      <c r="BC98" s="181">
        <f t="shared" si="121"/>
        <v>0.60282267406579726</v>
      </c>
      <c r="BD98" s="181"/>
      <c r="BE98" s="548">
        <f t="shared" si="122"/>
        <v>0.11442833993437287</v>
      </c>
      <c r="BF98" s="548">
        <f t="shared" si="123"/>
        <v>3.8136300824059721E-2</v>
      </c>
      <c r="BG98" s="548">
        <f t="shared" si="124"/>
        <v>1.2064631706440914E-3</v>
      </c>
      <c r="BH98" s="548">
        <f t="shared" si="125"/>
        <v>4.1210218174964532E-3</v>
      </c>
      <c r="BI98">
        <f t="shared" si="126"/>
        <v>3.48E-3</v>
      </c>
      <c r="BJ98" s="474">
        <f t="shared" si="144"/>
        <v>161.37212574657318</v>
      </c>
      <c r="BK98" s="181">
        <f t="shared" si="127"/>
        <v>9.7650000000000001E-2</v>
      </c>
      <c r="BL98" s="181">
        <f t="shared" si="128"/>
        <v>9.7650000000000001E-2</v>
      </c>
      <c r="BM98" s="548"/>
      <c r="BO98" s="474">
        <f t="shared" si="145"/>
        <v>195.3</v>
      </c>
      <c r="BP98" s="548">
        <f t="shared" si="129"/>
        <v>0</v>
      </c>
      <c r="BQ98" s="548">
        <f t="shared" si="130"/>
        <v>0</v>
      </c>
      <c r="BR98" s="548">
        <f t="shared" si="131"/>
        <v>3.2705565873105455E-2</v>
      </c>
      <c r="BS98" s="548">
        <f t="shared" si="132"/>
        <v>1.1585109674939887E-2</v>
      </c>
      <c r="BT98" s="658">
        <f t="shared" si="133"/>
        <v>0.21307346056745299</v>
      </c>
      <c r="BU98" s="474">
        <f t="shared" si="146"/>
        <v>257.36413611549835</v>
      </c>
      <c r="BV98" s="181">
        <f t="shared" si="147"/>
        <v>0.6140362618620715</v>
      </c>
      <c r="BW98" s="6">
        <f t="shared" si="148"/>
        <v>5.1948057439170316</v>
      </c>
      <c r="BX98" s="181">
        <f t="shared" si="149"/>
        <v>0.89429282785602049</v>
      </c>
      <c r="BY98" s="6">
        <f t="shared" si="150"/>
        <v>89.429282785602055</v>
      </c>
      <c r="BZ98">
        <f t="shared" si="151"/>
        <v>93.000000000000014</v>
      </c>
      <c r="CB98" s="583">
        <f t="shared" si="134"/>
        <v>-50</v>
      </c>
      <c r="CC98">
        <f t="shared" si="135"/>
        <v>-50</v>
      </c>
    </row>
    <row r="99" spans="5:81" x14ac:dyDescent="0.2">
      <c r="E99" s="178">
        <v>94</v>
      </c>
      <c r="F99" s="225">
        <f t="shared" si="152"/>
        <v>0.28199999999999997</v>
      </c>
      <c r="G99" s="225">
        <f t="shared" si="136"/>
        <v>0.28199999999999997</v>
      </c>
      <c r="H99" s="225">
        <f t="shared" si="91"/>
        <v>4.2299999999999995</v>
      </c>
      <c r="I99" s="225">
        <f t="shared" si="153"/>
        <v>2.2559999999999998</v>
      </c>
      <c r="J99" s="561">
        <f t="shared" si="92"/>
        <v>12</v>
      </c>
      <c r="K99" s="456">
        <f t="shared" si="93"/>
        <v>10.383965322628555</v>
      </c>
      <c r="L99" s="456">
        <f t="shared" si="94"/>
        <v>27.25</v>
      </c>
      <c r="M99" s="456"/>
      <c r="N99" s="225">
        <f t="shared" si="95"/>
        <v>0.55963302752293576</v>
      </c>
      <c r="O99" s="180">
        <f t="shared" si="137"/>
        <v>2.8577782209812521</v>
      </c>
      <c r="P99" s="180">
        <f t="shared" si="96"/>
        <v>2.3370275229357795</v>
      </c>
      <c r="Q99" s="225">
        <f t="shared" si="97"/>
        <v>0.19051854806541682</v>
      </c>
      <c r="R99" s="225">
        <f t="shared" si="98"/>
        <v>0.35722227762265651</v>
      </c>
      <c r="S99" s="456">
        <f t="shared" si="99"/>
        <v>10.133965322628555</v>
      </c>
      <c r="T99" s="225">
        <f t="shared" si="100"/>
        <v>1.45</v>
      </c>
      <c r="U99" s="225">
        <f t="shared" si="101"/>
        <v>4.833333333333333</v>
      </c>
      <c r="V99" s="225">
        <f t="shared" si="102"/>
        <v>5.5855348316319411</v>
      </c>
      <c r="W99" s="205">
        <f t="shared" si="103"/>
        <v>350</v>
      </c>
      <c r="X99" s="456">
        <f t="shared" si="138"/>
        <v>95.979715278730851</v>
      </c>
      <c r="Z99" s="225">
        <f t="shared" si="104"/>
        <v>0.39763024901188487</v>
      </c>
      <c r="AA99" s="181">
        <f t="shared" si="105"/>
        <v>1.5317086937699069</v>
      </c>
      <c r="AB99" s="181">
        <f t="shared" si="106"/>
        <v>0.10658439913054447</v>
      </c>
      <c r="AC99" s="181"/>
      <c r="AD99" s="181">
        <f t="shared" si="107"/>
        <v>1.1171069663263882</v>
      </c>
      <c r="AE99" s="565">
        <f t="shared" si="108"/>
        <v>1740.9501908330869</v>
      </c>
      <c r="AF99" s="548">
        <f t="shared" si="109"/>
        <v>5.6693178541064204E-2</v>
      </c>
      <c r="AH99" s="181">
        <f t="shared" si="110"/>
        <v>0.96258580322557652</v>
      </c>
      <c r="AI99" s="181">
        <f t="shared" si="111"/>
        <v>1.45</v>
      </c>
      <c r="AJ99" s="181">
        <f t="shared" si="112"/>
        <v>2.0592592592592593</v>
      </c>
      <c r="AL99" s="565">
        <f t="shared" si="113"/>
        <v>282</v>
      </c>
      <c r="AM99" s="474">
        <f t="shared" si="114"/>
        <v>95.979715278730851</v>
      </c>
      <c r="AO99" t="str">
        <f t="shared" si="139"/>
        <v/>
      </c>
      <c r="AP99" t="str">
        <f t="shared" si="115"/>
        <v/>
      </c>
      <c r="AR99" s="6">
        <f t="shared" si="140"/>
        <v>10.418868164965273</v>
      </c>
      <c r="AS99" s="6">
        <f t="shared" si="116"/>
        <v>4.833333333333333</v>
      </c>
      <c r="AT99" s="6">
        <f t="shared" si="141"/>
        <v>5.5855348316319402</v>
      </c>
      <c r="AU99" s="181">
        <f t="shared" si="142"/>
        <v>0.46390195718053245</v>
      </c>
      <c r="AW99" s="6">
        <f t="shared" si="117"/>
        <v>9.0866666666666642</v>
      </c>
      <c r="AX99" s="6">
        <f t="shared" si="118"/>
        <v>17.037499999999998</v>
      </c>
      <c r="AY99" s="6">
        <f t="shared" si="119"/>
        <v>3.646113015093071</v>
      </c>
      <c r="AZ99" s="6"/>
      <c r="BA99" s="181">
        <f t="shared" si="143"/>
        <v>0.57019115653497277</v>
      </c>
      <c r="BB99" s="181">
        <f t="shared" si="120"/>
        <v>0.6129562613618067</v>
      </c>
      <c r="BC99" s="181">
        <f t="shared" si="121"/>
        <v>0.60428819301931647</v>
      </c>
      <c r="BD99" s="181"/>
      <c r="BE99" s="548">
        <f t="shared" si="122"/>
        <v>0.11379128424674143</v>
      </c>
      <c r="BF99" s="548">
        <f t="shared" si="123"/>
        <v>3.7923984999508525E-2</v>
      </c>
      <c r="BG99" s="548">
        <f t="shared" si="124"/>
        <v>1.1997464409841357E-3</v>
      </c>
      <c r="BH99" s="548">
        <f t="shared" si="125"/>
        <v>4.0980788962830979E-3</v>
      </c>
      <c r="BI99">
        <f t="shared" si="126"/>
        <v>3.48E-3</v>
      </c>
      <c r="BJ99" s="474">
        <f t="shared" si="144"/>
        <v>160.49309458351721</v>
      </c>
      <c r="BK99" s="181">
        <f t="shared" si="127"/>
        <v>9.8699999999999982E-2</v>
      </c>
      <c r="BL99" s="181">
        <f t="shared" si="128"/>
        <v>9.8699999999999982E-2</v>
      </c>
      <c r="BM99" s="548"/>
      <c r="BO99" s="474">
        <f t="shared" si="145"/>
        <v>197.39999999999998</v>
      </c>
      <c r="BP99" s="548">
        <f t="shared" si="129"/>
        <v>0</v>
      </c>
      <c r="BQ99" s="548">
        <f t="shared" si="130"/>
        <v>0</v>
      </c>
      <c r="BR99" s="548">
        <f t="shared" si="131"/>
        <v>3.2864779820029562E-2</v>
      </c>
      <c r="BS99" s="548">
        <f t="shared" si="132"/>
        <v>1.142453817276216E-2</v>
      </c>
      <c r="BT99" s="658">
        <f t="shared" si="133"/>
        <v>0.21188721894220824</v>
      </c>
      <c r="BU99" s="474">
        <f t="shared" si="146"/>
        <v>256.176536935</v>
      </c>
      <c r="BV99" s="181">
        <f t="shared" si="147"/>
        <v>0.61406963151851712</v>
      </c>
      <c r="BW99" s="6">
        <f t="shared" si="148"/>
        <v>5.1948057439170316</v>
      </c>
      <c r="BX99" s="181">
        <f t="shared" si="149"/>
        <v>0.89428769050283263</v>
      </c>
      <c r="BY99" s="6">
        <f t="shared" si="150"/>
        <v>89.428769050283265</v>
      </c>
      <c r="BZ99">
        <f t="shared" si="151"/>
        <v>94</v>
      </c>
      <c r="CB99" s="583">
        <f t="shared" si="134"/>
        <v>-50</v>
      </c>
      <c r="CC99">
        <f t="shared" si="135"/>
        <v>-50</v>
      </c>
    </row>
    <row r="100" spans="5:81" x14ac:dyDescent="0.2">
      <c r="E100" s="178">
        <v>95</v>
      </c>
      <c r="F100" s="225">
        <f t="shared" si="152"/>
        <v>0.28499999999999998</v>
      </c>
      <c r="G100" s="225">
        <f t="shared" si="136"/>
        <v>0.28499999999999998</v>
      </c>
      <c r="H100" s="225">
        <f t="shared" si="91"/>
        <v>4.2749999999999995</v>
      </c>
      <c r="I100" s="225">
        <f t="shared" si="153"/>
        <v>2.2799999999999998</v>
      </c>
      <c r="J100" s="561">
        <f t="shared" si="92"/>
        <v>12</v>
      </c>
      <c r="K100" s="456">
        <f t="shared" si="93"/>
        <v>10.277292003442991</v>
      </c>
      <c r="L100" s="456">
        <f t="shared" si="94"/>
        <v>27.25</v>
      </c>
      <c r="M100" s="456"/>
      <c r="N100" s="225">
        <f t="shared" si="95"/>
        <v>0.55963302752293576</v>
      </c>
      <c r="O100" s="180">
        <f t="shared" si="137"/>
        <v>2.8577782209812521</v>
      </c>
      <c r="P100" s="180">
        <f t="shared" si="96"/>
        <v>2.3370275229357795</v>
      </c>
      <c r="Q100" s="225">
        <f t="shared" si="97"/>
        <v>0.19051854806541682</v>
      </c>
      <c r="R100" s="225">
        <f t="shared" si="98"/>
        <v>0.35722227762265651</v>
      </c>
      <c r="S100" s="456">
        <f t="shared" si="99"/>
        <v>10.027292003442991</v>
      </c>
      <c r="T100" s="225">
        <f t="shared" si="100"/>
        <v>1.45</v>
      </c>
      <c r="U100" s="225">
        <f t="shared" si="101"/>
        <v>4.833333333333333</v>
      </c>
      <c r="V100" s="225">
        <f t="shared" si="102"/>
        <v>5.6435099810893226</v>
      </c>
      <c r="W100" s="205">
        <f t="shared" si="103"/>
        <v>350</v>
      </c>
      <c r="X100" s="456">
        <f t="shared" si="138"/>
        <v>95.448597443790888</v>
      </c>
      <c r="Z100" s="225">
        <f t="shared" si="104"/>
        <v>0.39542990369570513</v>
      </c>
      <c r="AA100" s="181">
        <f t="shared" si="105"/>
        <v>1.5390431781571734</v>
      </c>
      <c r="AB100" s="181">
        <f t="shared" si="106"/>
        <v>0.10650214675138904</v>
      </c>
      <c r="AC100" s="181"/>
      <c r="AD100" s="181">
        <f t="shared" si="107"/>
        <v>1.1287019962178646</v>
      </c>
      <c r="AE100" s="565">
        <f t="shared" si="108"/>
        <v>1741.3960885738716</v>
      </c>
      <c r="AF100" s="548">
        <f t="shared" si="109"/>
        <v>5.7281626308056624E-2</v>
      </c>
      <c r="AH100" s="181">
        <f t="shared" si="110"/>
        <v>0.96769239504533222</v>
      </c>
      <c r="AI100" s="181">
        <f t="shared" si="111"/>
        <v>1.45</v>
      </c>
      <c r="AJ100" s="181">
        <f t="shared" si="112"/>
        <v>2.0592592592592593</v>
      </c>
      <c r="AL100" s="565">
        <f t="shared" si="113"/>
        <v>285</v>
      </c>
      <c r="AM100" s="474">
        <f t="shared" si="114"/>
        <v>95.448597443790888</v>
      </c>
      <c r="AO100" t="str">
        <f t="shared" si="139"/>
        <v/>
      </c>
      <c r="AP100" t="str">
        <f t="shared" si="115"/>
        <v/>
      </c>
      <c r="AR100" s="6">
        <f t="shared" si="140"/>
        <v>10.476843314422656</v>
      </c>
      <c r="AS100" s="6">
        <f t="shared" si="116"/>
        <v>4.833333333333333</v>
      </c>
      <c r="AT100" s="6">
        <f t="shared" si="141"/>
        <v>5.6435099810893226</v>
      </c>
      <c r="AU100" s="181">
        <f t="shared" si="142"/>
        <v>0.46133488764498931</v>
      </c>
      <c r="AW100" s="6">
        <f t="shared" si="117"/>
        <v>9.1833333333333318</v>
      </c>
      <c r="AX100" s="6">
        <f t="shared" si="118"/>
        <v>17.218749999999996</v>
      </c>
      <c r="AY100" s="6">
        <f t="shared" si="119"/>
        <v>3.7231489458575382</v>
      </c>
      <c r="AZ100" s="6"/>
      <c r="BA100" s="181">
        <f t="shared" si="143"/>
        <v>0.56861134977346051</v>
      </c>
      <c r="BB100" s="181">
        <f t="shared" si="120"/>
        <v>0.61442205872033651</v>
      </c>
      <c r="BC100" s="181">
        <f t="shared" si="121"/>
        <v>0.60573326193035193</v>
      </c>
      <c r="BD100" s="181"/>
      <c r="BE100" s="548">
        <f t="shared" si="122"/>
        <v>0.11316160348191882</v>
      </c>
      <c r="BF100" s="548">
        <f t="shared" si="123"/>
        <v>3.771412706497787E-2</v>
      </c>
      <c r="BG100" s="548">
        <f t="shared" si="124"/>
        <v>1.1931074680473861E-3</v>
      </c>
      <c r="BH100" s="548">
        <f t="shared" si="125"/>
        <v>4.075401575512911E-3</v>
      </c>
      <c r="BI100">
        <f t="shared" si="126"/>
        <v>3.48E-3</v>
      </c>
      <c r="BJ100" s="474">
        <f t="shared" si="144"/>
        <v>159.62423959045699</v>
      </c>
      <c r="BK100" s="181">
        <f t="shared" si="127"/>
        <v>9.9749999999999991E-2</v>
      </c>
      <c r="BL100" s="181">
        <f t="shared" si="128"/>
        <v>9.9749999999999991E-2</v>
      </c>
      <c r="BM100" s="548"/>
      <c r="BO100" s="474">
        <f t="shared" si="145"/>
        <v>199.49999999999997</v>
      </c>
      <c r="BP100" s="548">
        <f t="shared" si="129"/>
        <v>0</v>
      </c>
      <c r="BQ100" s="548">
        <f t="shared" si="130"/>
        <v>0</v>
      </c>
      <c r="BR100" s="548">
        <f t="shared" si="131"/>
        <v>3.3022150614790594E-2</v>
      </c>
      <c r="BS100" s="548">
        <f t="shared" si="132"/>
        <v>1.1267145110410333E-2</v>
      </c>
      <c r="BT100" s="658">
        <f t="shared" si="133"/>
        <v>0.21071470993184888</v>
      </c>
      <c r="BU100" s="474">
        <f t="shared" si="146"/>
        <v>255.00400565704979</v>
      </c>
      <c r="BV100" s="181">
        <f t="shared" si="147"/>
        <v>0.61412824524750675</v>
      </c>
      <c r="BW100" s="6">
        <f t="shared" si="148"/>
        <v>5.1948057439170316</v>
      </c>
      <c r="BX100" s="181">
        <f t="shared" si="149"/>
        <v>0.89427866689601809</v>
      </c>
      <c r="BY100" s="6">
        <f t="shared" si="150"/>
        <v>89.427866689601814</v>
      </c>
      <c r="BZ100">
        <f t="shared" si="151"/>
        <v>95</v>
      </c>
      <c r="CB100" s="583">
        <f t="shared" si="134"/>
        <v>-50</v>
      </c>
      <c r="CC100">
        <f t="shared" si="135"/>
        <v>-50</v>
      </c>
    </row>
    <row r="101" spans="5:81" x14ac:dyDescent="0.2">
      <c r="E101" s="178">
        <v>96</v>
      </c>
      <c r="F101" s="225">
        <f t="shared" si="152"/>
        <v>0.28799999999999998</v>
      </c>
      <c r="G101" s="225">
        <f t="shared" si="136"/>
        <v>0.28799999999999998</v>
      </c>
      <c r="H101" s="225">
        <f t="shared" si="91"/>
        <v>4.3199999999999994</v>
      </c>
      <c r="I101" s="225">
        <f t="shared" si="153"/>
        <v>2.3039999999999998</v>
      </c>
      <c r="J101" s="561">
        <f t="shared" si="92"/>
        <v>12</v>
      </c>
      <c r="K101" s="456">
        <f t="shared" si="93"/>
        <v>10.172841045073794</v>
      </c>
      <c r="L101" s="456">
        <f t="shared" si="94"/>
        <v>27.25</v>
      </c>
      <c r="M101" s="456"/>
      <c r="N101" s="225">
        <f t="shared" si="95"/>
        <v>0.55963302752293576</v>
      </c>
      <c r="O101" s="180">
        <f t="shared" si="137"/>
        <v>2.8577782209812521</v>
      </c>
      <c r="P101" s="180">
        <f t="shared" si="96"/>
        <v>2.3370275229357795</v>
      </c>
      <c r="Q101" s="225">
        <f t="shared" si="97"/>
        <v>0.19051854806541682</v>
      </c>
      <c r="R101" s="225">
        <f t="shared" si="98"/>
        <v>0.35722227762265651</v>
      </c>
      <c r="S101" s="456">
        <f t="shared" si="99"/>
        <v>9.9228410450737936</v>
      </c>
      <c r="T101" s="225">
        <f t="shared" si="100"/>
        <v>1.45</v>
      </c>
      <c r="U101" s="225">
        <f t="shared" si="101"/>
        <v>4.833333333333333</v>
      </c>
      <c r="V101" s="225">
        <f t="shared" si="102"/>
        <v>5.7014554481893285</v>
      </c>
      <c r="W101" s="205">
        <f t="shared" si="103"/>
        <v>350</v>
      </c>
      <c r="X101" s="456">
        <f t="shared" si="138"/>
        <v>94.923592749570389</v>
      </c>
      <c r="Z101" s="225">
        <f t="shared" si="104"/>
        <v>0.39325488424822014</v>
      </c>
      <c r="AA101" s="181">
        <f t="shared" si="105"/>
        <v>1.546293242982123</v>
      </c>
      <c r="AB101" s="181">
        <f t="shared" ref="AB101:AB105" si="154">0.5*AA101*Z101*Nps*W101/1000*(Pout/Pout_total)</f>
        <v>0.10641528979947945</v>
      </c>
      <c r="AC101" s="181"/>
      <c r="AD101" s="181">
        <f t="shared" si="107"/>
        <v>1.1402910896378657</v>
      </c>
      <c r="AE101" s="565">
        <f t="shared" ref="AE101:AE105" si="155">MAX(10, F101/(0.5*AD101/1000000*Isw_min*Nps)/1000*Pout_total/Pout)</f>
        <v>1741.8419863146564</v>
      </c>
      <c r="AF101" s="548">
        <f t="shared" si="109"/>
        <v>5.7869772799121685E-2</v>
      </c>
      <c r="AH101" s="181">
        <f t="shared" si="110"/>
        <v>0.97277218005333288</v>
      </c>
      <c r="AI101" s="181">
        <f t="shared" ref="AI101:AI105" si="156">MAX(IF(F101&gt;AB101,T101,AH101),Isw_min)</f>
        <v>1.45</v>
      </c>
      <c r="AJ101" s="181">
        <f t="shared" ref="AJ101:AJ105" si="157">IF(F101&gt;AF101, (AI101-Isw_min)/1.08*0.8+1.2, AE101*0.2/350+1)</f>
        <v>2.0592592592592593</v>
      </c>
      <c r="AL101" s="565">
        <f t="shared" si="113"/>
        <v>288</v>
      </c>
      <c r="AM101" s="474">
        <f t="shared" si="114"/>
        <v>94.923592749570389</v>
      </c>
      <c r="AO101" t="str">
        <f t="shared" si="139"/>
        <v/>
      </c>
      <c r="AP101" t="str">
        <f t="shared" si="115"/>
        <v/>
      </c>
      <c r="AR101" s="6">
        <f t="shared" si="140"/>
        <v>10.534788781522662</v>
      </c>
      <c r="AS101" s="6">
        <f t="shared" si="116"/>
        <v>4.833333333333333</v>
      </c>
      <c r="AT101" s="6">
        <f t="shared" si="141"/>
        <v>5.7014554481893294</v>
      </c>
      <c r="AU101" s="181">
        <f t="shared" si="142"/>
        <v>0.45879736495625684</v>
      </c>
      <c r="AW101" s="6">
        <f t="shared" si="117"/>
        <v>9.2799999999999994</v>
      </c>
      <c r="AX101" s="6">
        <f t="shared" si="118"/>
        <v>17.399999999999999</v>
      </c>
      <c r="AY101" s="6">
        <f t="shared" si="119"/>
        <v>3.8009702987928846</v>
      </c>
      <c r="AZ101" s="6"/>
      <c r="BA101" s="181">
        <f t="shared" si="143"/>
        <v>0.56704540083386912</v>
      </c>
      <c r="BB101" s="181">
        <f t="shared" si="120"/>
        <v>0.61586755615675193</v>
      </c>
      <c r="BC101" s="181">
        <f t="shared" si="121"/>
        <v>0.60715831798887865</v>
      </c>
      <c r="BD101" s="181"/>
      <c r="BE101" s="548">
        <f t="shared" si="122"/>
        <v>0.11253917031239515</v>
      </c>
      <c r="BF101" s="548">
        <f t="shared" si="123"/>
        <v>3.7506684585173998E-2</v>
      </c>
      <c r="BG101" s="548">
        <f t="shared" si="124"/>
        <v>1.1865449093696298E-3</v>
      </c>
      <c r="BH101" s="548">
        <f t="shared" si="125"/>
        <v>4.0529852696134143E-3</v>
      </c>
      <c r="BI101">
        <f t="shared" si="126"/>
        <v>3.48E-3</v>
      </c>
      <c r="BJ101" s="474">
        <f t="shared" si="144"/>
        <v>158.76538507655218</v>
      </c>
      <c r="BK101" s="181">
        <f t="shared" si="127"/>
        <v>0.10079999999999999</v>
      </c>
      <c r="BL101" s="181">
        <f t="shared" si="128"/>
        <v>0.10079999999999999</v>
      </c>
      <c r="BM101" s="548"/>
      <c r="BO101" s="474">
        <f t="shared" si="145"/>
        <v>201.59999999999997</v>
      </c>
      <c r="BP101" s="548">
        <f t="shared" si="129"/>
        <v>0</v>
      </c>
      <c r="BQ101" s="548">
        <f t="shared" si="130"/>
        <v>0</v>
      </c>
      <c r="BR101" s="548">
        <f t="shared" si="131"/>
        <v>3.3177710079277584E-2</v>
      </c>
      <c r="BS101" s="548">
        <f t="shared" si="132"/>
        <v>1.1112849388708247E-2</v>
      </c>
      <c r="BT101" s="658">
        <f t="shared" si="133"/>
        <v>0.20955569644377034</v>
      </c>
      <c r="BU101" s="474">
        <f t="shared" si="146"/>
        <v>253.8462559117562</v>
      </c>
      <c r="BV101" s="181">
        <f t="shared" si="147"/>
        <v>0.61421164098830838</v>
      </c>
      <c r="BW101" s="6">
        <f t="shared" si="148"/>
        <v>5.1948057439170316</v>
      </c>
      <c r="BX101" s="181">
        <f t="shared" si="149"/>
        <v>0.89426582840252289</v>
      </c>
      <c r="BY101" s="6">
        <f t="shared" si="150"/>
        <v>89.426582840252294</v>
      </c>
      <c r="BZ101">
        <f t="shared" si="151"/>
        <v>96</v>
      </c>
      <c r="CB101" s="583">
        <f t="shared" si="134"/>
        <v>-50</v>
      </c>
      <c r="CC101">
        <f t="shared" si="135"/>
        <v>-50</v>
      </c>
    </row>
    <row r="102" spans="5:81" x14ac:dyDescent="0.2">
      <c r="E102" s="178">
        <v>97</v>
      </c>
      <c r="F102" s="225">
        <f t="shared" si="152"/>
        <v>0.29099999999999998</v>
      </c>
      <c r="G102" s="225">
        <f t="shared" si="136"/>
        <v>0.29099999999999998</v>
      </c>
      <c r="H102" s="225">
        <f t="shared" si="91"/>
        <v>4.3649999999999993</v>
      </c>
      <c r="I102" s="225">
        <f t="shared" si="153"/>
        <v>2.3279999999999998</v>
      </c>
      <c r="J102" s="561">
        <f t="shared" si="92"/>
        <v>12</v>
      </c>
      <c r="K102" s="456">
        <f t="shared" si="93"/>
        <v>10.070543714712207</v>
      </c>
      <c r="L102" s="456">
        <f t="shared" si="94"/>
        <v>27.25</v>
      </c>
      <c r="M102" s="456"/>
      <c r="N102" s="225">
        <f t="shared" si="95"/>
        <v>0.55963302752293576</v>
      </c>
      <c r="O102" s="180">
        <f t="shared" ref="O102:O105" si="158">N102*J102*Isw_max*0.5*Efficiency*Pout/(Pout+Pout2)</f>
        <v>2.8577782209812521</v>
      </c>
      <c r="P102" s="180">
        <f t="shared" si="96"/>
        <v>2.3370275229357795</v>
      </c>
      <c r="Q102" s="225">
        <f t="shared" si="97"/>
        <v>0.19051854806541682</v>
      </c>
      <c r="R102" s="225">
        <f t="shared" si="98"/>
        <v>0.35722227762265651</v>
      </c>
      <c r="S102" s="456">
        <f t="shared" si="99"/>
        <v>9.8205437147122066</v>
      </c>
      <c r="T102" s="225">
        <f t="shared" si="100"/>
        <v>1.45</v>
      </c>
      <c r="U102" s="225">
        <f t="shared" si="101"/>
        <v>4.833333333333333</v>
      </c>
      <c r="V102" s="225">
        <f t="shared" si="102"/>
        <v>5.7593712557214705</v>
      </c>
      <c r="W102" s="205">
        <f t="shared" si="103"/>
        <v>350</v>
      </c>
      <c r="X102" s="456">
        <f t="shared" si="138"/>
        <v>94.404596257057591</v>
      </c>
      <c r="Z102" s="225">
        <f t="shared" si="104"/>
        <v>0.39110475592209576</v>
      </c>
      <c r="AA102" s="181">
        <f t="shared" si="105"/>
        <v>1.5534603374025377</v>
      </c>
      <c r="AB102" s="181">
        <f t="shared" si="154"/>
        <v>0.10632400206653329</v>
      </c>
      <c r="AC102" s="181"/>
      <c r="AD102" s="181">
        <f t="shared" si="107"/>
        <v>1.1518742511442941</v>
      </c>
      <c r="AE102" s="565">
        <f t="shared" si="155"/>
        <v>1742.2878840554415</v>
      </c>
      <c r="AF102" s="548">
        <f t="shared" si="109"/>
        <v>5.8457618245572912E-2</v>
      </c>
      <c r="AH102" s="181">
        <f t="shared" si="110"/>
        <v>0.97782557603227838</v>
      </c>
      <c r="AI102" s="181">
        <f t="shared" si="156"/>
        <v>1.45</v>
      </c>
      <c r="AJ102" s="181">
        <f t="shared" si="157"/>
        <v>2.0592592592592593</v>
      </c>
      <c r="AL102" s="565">
        <f t="shared" si="113"/>
        <v>291</v>
      </c>
      <c r="AM102" s="474">
        <f t="shared" si="114"/>
        <v>94.404596257057591</v>
      </c>
      <c r="AO102" t="str">
        <f t="shared" si="139"/>
        <v/>
      </c>
      <c r="AP102" t="str">
        <f t="shared" si="115"/>
        <v/>
      </c>
      <c r="AR102" s="6">
        <f t="shared" si="140"/>
        <v>10.592704589054804</v>
      </c>
      <c r="AS102" s="6">
        <f t="shared" si="116"/>
        <v>4.833333333333333</v>
      </c>
      <c r="AT102" s="6">
        <f t="shared" si="141"/>
        <v>5.7593712557214713</v>
      </c>
      <c r="AU102" s="181">
        <f t="shared" si="142"/>
        <v>0.45628888190911171</v>
      </c>
      <c r="AW102" s="6">
        <f t="shared" si="117"/>
        <v>9.3766666666666652</v>
      </c>
      <c r="AX102" s="6">
        <f t="shared" si="118"/>
        <v>17.581250000000001</v>
      </c>
      <c r="AY102" s="6">
        <f t="shared" si="119"/>
        <v>3.8795764708679337</v>
      </c>
      <c r="AZ102" s="6"/>
      <c r="BA102" s="181">
        <f t="shared" si="143"/>
        <v>0.56549311054273899</v>
      </c>
      <c r="BB102" s="181">
        <f t="shared" si="120"/>
        <v>0.61729318420182711</v>
      </c>
      <c r="BC102" s="181">
        <f t="shared" si="121"/>
        <v>0.6085637856373568</v>
      </c>
      <c r="BD102" s="181"/>
      <c r="BE102" s="548">
        <f t="shared" si="122"/>
        <v>0.11192386032495583</v>
      </c>
      <c r="BF102" s="548">
        <f t="shared" si="123"/>
        <v>3.7301616096069877E-2</v>
      </c>
      <c r="BG102" s="548">
        <f t="shared" si="124"/>
        <v>1.18005745321322E-3</v>
      </c>
      <c r="BH102" s="548">
        <f t="shared" si="125"/>
        <v>4.0308254979675518E-3</v>
      </c>
      <c r="BI102">
        <f t="shared" si="126"/>
        <v>3.48E-3</v>
      </c>
      <c r="BJ102" s="474">
        <f t="shared" si="144"/>
        <v>157.9163593722065</v>
      </c>
      <c r="BK102" s="181">
        <f t="shared" si="127"/>
        <v>0.10184999999999998</v>
      </c>
      <c r="BL102" s="181">
        <f t="shared" si="128"/>
        <v>0.10184999999999998</v>
      </c>
      <c r="BM102" s="548"/>
      <c r="BO102" s="474">
        <f t="shared" si="145"/>
        <v>203.69999999999996</v>
      </c>
      <c r="BP102" s="548">
        <f t="shared" si="129"/>
        <v>0</v>
      </c>
      <c r="BQ102" s="548">
        <f t="shared" si="130"/>
        <v>0</v>
      </c>
      <c r="BR102" s="548">
        <f t="shared" si="131"/>
        <v>3.3331489307034369E-2</v>
      </c>
      <c r="BS102" s="548">
        <f t="shared" si="132"/>
        <v>1.0961572432743944E-2</v>
      </c>
      <c r="BT102" s="658">
        <f t="shared" si="133"/>
        <v>0.2084099468119868</v>
      </c>
      <c r="BU102" s="474">
        <f t="shared" si="146"/>
        <v>252.70300855176509</v>
      </c>
      <c r="BV102" s="181">
        <f t="shared" si="147"/>
        <v>0.61431936792397157</v>
      </c>
      <c r="BW102" s="6">
        <f t="shared" si="148"/>
        <v>5.1948057439170316</v>
      </c>
      <c r="BX102" s="181">
        <f t="shared" si="149"/>
        <v>0.89424924474913159</v>
      </c>
      <c r="BY102" s="6">
        <f t="shared" si="150"/>
        <v>89.424924474913155</v>
      </c>
      <c r="BZ102">
        <f t="shared" si="151"/>
        <v>97</v>
      </c>
      <c r="CB102" s="583">
        <f t="shared" si="134"/>
        <v>94.404596257057591</v>
      </c>
      <c r="CC102">
        <f t="shared" si="135"/>
        <v>4.6454511131162564</v>
      </c>
    </row>
    <row r="103" spans="5:81" x14ac:dyDescent="0.2">
      <c r="E103" s="178">
        <v>98</v>
      </c>
      <c r="F103" s="225">
        <f t="shared" si="152"/>
        <v>0.29399999999999998</v>
      </c>
      <c r="G103" s="225">
        <f t="shared" si="136"/>
        <v>0.29399999999999998</v>
      </c>
      <c r="H103" s="225">
        <f t="shared" si="91"/>
        <v>4.41</v>
      </c>
      <c r="I103" s="225">
        <f t="shared" si="153"/>
        <v>2.3519999999999999</v>
      </c>
      <c r="J103" s="561">
        <f t="shared" si="92"/>
        <v>12</v>
      </c>
      <c r="K103" s="456">
        <f t="shared" si="93"/>
        <v>9.9703340849702453</v>
      </c>
      <c r="L103" s="456">
        <f t="shared" si="94"/>
        <v>27.25</v>
      </c>
      <c r="M103" s="456"/>
      <c r="N103" s="225">
        <f t="shared" si="95"/>
        <v>0.55963302752293576</v>
      </c>
      <c r="O103" s="180">
        <f t="shared" si="158"/>
        <v>2.8577782209812521</v>
      </c>
      <c r="P103" s="180">
        <f t="shared" si="96"/>
        <v>2.3370275229357795</v>
      </c>
      <c r="Q103" s="225">
        <f t="shared" si="97"/>
        <v>0.19051854806541682</v>
      </c>
      <c r="R103" s="225">
        <f t="shared" si="98"/>
        <v>0.35722227762265651</v>
      </c>
      <c r="S103" s="456">
        <f t="shared" si="99"/>
        <v>9.7203340849702453</v>
      </c>
      <c r="T103" s="225">
        <f t="shared" si="100"/>
        <v>1.45</v>
      </c>
      <c r="U103" s="225">
        <f t="shared" si="101"/>
        <v>4.833333333333333</v>
      </c>
      <c r="V103" s="225">
        <f t="shared" si="102"/>
        <v>5.817257426451933</v>
      </c>
      <c r="W103" s="205">
        <f t="shared" si="103"/>
        <v>350</v>
      </c>
      <c r="X103" s="456">
        <f t="shared" si="138"/>
        <v>93.891505415438729</v>
      </c>
      <c r="Z103" s="225">
        <f t="shared" si="104"/>
        <v>0.38897909386396035</v>
      </c>
      <c r="AA103" s="181">
        <f t="shared" si="105"/>
        <v>1.5605458775963219</v>
      </c>
      <c r="AB103" s="181">
        <f t="shared" si="154"/>
        <v>0.10622845124509731</v>
      </c>
      <c r="AC103" s="181"/>
      <c r="AD103" s="181">
        <f t="shared" si="107"/>
        <v>1.1634514852903866</v>
      </c>
      <c r="AE103" s="565">
        <f t="shared" si="155"/>
        <v>1742.7337817962261</v>
      </c>
      <c r="AF103" s="548">
        <f t="shared" si="109"/>
        <v>5.9045162878487122E-2</v>
      </c>
      <c r="AH103" s="181">
        <f t="shared" si="110"/>
        <v>0.98285299002444915</v>
      </c>
      <c r="AI103" s="181">
        <f t="shared" si="156"/>
        <v>1.45</v>
      </c>
      <c r="AJ103" s="181">
        <f t="shared" si="157"/>
        <v>2.0592592592592593</v>
      </c>
      <c r="AL103" s="565">
        <f t="shared" si="113"/>
        <v>294</v>
      </c>
      <c r="AM103" s="474">
        <f t="shared" si="114"/>
        <v>93.891505415438729</v>
      </c>
      <c r="AO103" t="str">
        <f t="shared" si="139"/>
        <v/>
      </c>
      <c r="AP103" t="str">
        <f t="shared" si="115"/>
        <v/>
      </c>
      <c r="AR103" s="6">
        <f t="shared" si="140"/>
        <v>10.650590759785265</v>
      </c>
      <c r="AS103" s="6">
        <f t="shared" si="116"/>
        <v>4.833333333333333</v>
      </c>
      <c r="AT103" s="6">
        <f t="shared" si="141"/>
        <v>5.8172574264519321</v>
      </c>
      <c r="AU103" s="181">
        <f t="shared" si="142"/>
        <v>0.4538089428412872</v>
      </c>
      <c r="AW103" s="6">
        <f t="shared" si="117"/>
        <v>9.4733333333333327</v>
      </c>
      <c r="AX103" s="6">
        <f t="shared" si="118"/>
        <v>17.762499999999996</v>
      </c>
      <c r="AY103" s="6">
        <f t="shared" si="119"/>
        <v>3.9589668596686756</v>
      </c>
      <c r="AZ103" s="6"/>
      <c r="BA103" s="181">
        <f t="shared" si="143"/>
        <v>0.56395428370386147</v>
      </c>
      <c r="BB103" s="181">
        <f t="shared" si="120"/>
        <v>0.61869936093824907</v>
      </c>
      <c r="BC103" s="181">
        <f t="shared" si="121"/>
        <v>0.60995007704619297</v>
      </c>
      <c r="BD103" s="181"/>
      <c r="BE103" s="548">
        <f t="shared" si="122"/>
        <v>0.11131555193777741</v>
      </c>
      <c r="BF103" s="548">
        <f t="shared" si="123"/>
        <v>3.7098881077275228E-2</v>
      </c>
      <c r="BG103" s="548">
        <f t="shared" si="124"/>
        <v>1.1736438176929841E-3</v>
      </c>
      <c r="BH103" s="548">
        <f t="shared" si="125"/>
        <v>4.0089178819279732E-3</v>
      </c>
      <c r="BI103">
        <f t="shared" si="126"/>
        <v>3.48E-3</v>
      </c>
      <c r="BJ103" s="474">
        <f t="shared" si="144"/>
        <v>157.07699471467359</v>
      </c>
      <c r="BK103" s="181">
        <f t="shared" si="127"/>
        <v>0.10289999999999999</v>
      </c>
      <c r="BL103" s="181">
        <f t="shared" si="128"/>
        <v>0.10289999999999999</v>
      </c>
      <c r="BM103" s="548"/>
      <c r="BO103" s="474">
        <f t="shared" si="145"/>
        <v>205.79999999999998</v>
      </c>
      <c r="BP103" s="548">
        <f t="shared" si="129"/>
        <v>0</v>
      </c>
      <c r="BQ103" s="548">
        <f t="shared" si="130"/>
        <v>0</v>
      </c>
      <c r="BR103" s="548">
        <f t="shared" si="131"/>
        <v>3.3483518683979106E-2</v>
      </c>
      <c r="BS103" s="548">
        <f t="shared" si="132"/>
        <v>1.0813238099351315E-2</v>
      </c>
      <c r="BT103" s="658">
        <f t="shared" si="133"/>
        <v>0.20727723464275796</v>
      </c>
      <c r="BU103" s="474">
        <f t="shared" si="146"/>
        <v>251.57399142608838</v>
      </c>
      <c r="BV103" s="181">
        <f t="shared" si="147"/>
        <v>0.61445098614076199</v>
      </c>
      <c r="BW103" s="6">
        <f t="shared" si="148"/>
        <v>5.1948057439170316</v>
      </c>
      <c r="BX103" s="181">
        <f t="shared" si="149"/>
        <v>0.89422898406924967</v>
      </c>
      <c r="BY103" s="6">
        <f t="shared" si="150"/>
        <v>89.422898406924972</v>
      </c>
      <c r="BZ103">
        <f t="shared" si="151"/>
        <v>98</v>
      </c>
      <c r="CB103" s="583">
        <f t="shared" si="134"/>
        <v>-50</v>
      </c>
      <c r="CC103">
        <f t="shared" si="135"/>
        <v>-50</v>
      </c>
    </row>
    <row r="104" spans="5:81" x14ac:dyDescent="0.2">
      <c r="E104" s="178">
        <v>99</v>
      </c>
      <c r="F104" s="225">
        <f t="shared" ref="F104:F105" si="159">IF(PLOT_TYPE=1, E104/100*Iout_max, min_I*EXP(O104*rr/100))</f>
        <v>0.29699999999999999</v>
      </c>
      <c r="G104" s="225">
        <f t="shared" si="136"/>
        <v>0.29699999999999999</v>
      </c>
      <c r="H104" s="225">
        <f t="shared" si="91"/>
        <v>4.4550000000000001</v>
      </c>
      <c r="I104" s="225">
        <f t="shared" si="153"/>
        <v>2.3759999999999999</v>
      </c>
      <c r="J104" s="561">
        <f t="shared" si="92"/>
        <v>12</v>
      </c>
      <c r="K104" s="456">
        <f t="shared" si="93"/>
        <v>9.8721488921927687</v>
      </c>
      <c r="L104" s="456">
        <f t="shared" si="94"/>
        <v>27.25</v>
      </c>
      <c r="M104" s="456"/>
      <c r="N104" s="225">
        <f t="shared" si="95"/>
        <v>0.55963302752293576</v>
      </c>
      <c r="O104" s="180">
        <f t="shared" si="158"/>
        <v>2.8577782209812521</v>
      </c>
      <c r="P104" s="180">
        <f t="shared" si="96"/>
        <v>2.3370275229357795</v>
      </c>
      <c r="Q104" s="225">
        <f t="shared" si="97"/>
        <v>0.19051854806541682</v>
      </c>
      <c r="R104" s="225">
        <f t="shared" si="98"/>
        <v>0.35722227762265651</v>
      </c>
      <c r="S104" s="456">
        <f t="shared" si="99"/>
        <v>9.6221488921927687</v>
      </c>
      <c r="T104" s="225">
        <f t="shared" si="100"/>
        <v>1.45</v>
      </c>
      <c r="U104" s="225">
        <f t="shared" si="101"/>
        <v>4.833333333333333</v>
      </c>
      <c r="V104" s="225">
        <f t="shared" si="102"/>
        <v>5.8751139831236108</v>
      </c>
      <c r="W104" s="205">
        <f t="shared" si="103"/>
        <v>350</v>
      </c>
      <c r="X104" s="456">
        <f t="shared" si="138"/>
        <v>93.38421999454404</v>
      </c>
      <c r="Z104" s="225">
        <f t="shared" si="104"/>
        <v>0.38687748283453954</v>
      </c>
      <c r="AA104" s="181">
        <f t="shared" si="105"/>
        <v>1.5675512476943918</v>
      </c>
      <c r="AB104" s="181">
        <f t="shared" si="154"/>
        <v>0.10612879916137592</v>
      </c>
      <c r="AC104" s="181"/>
      <c r="AD104" s="181">
        <f t="shared" si="107"/>
        <v>1.1750227966247222</v>
      </c>
      <c r="AE104" s="565">
        <f t="shared" si="155"/>
        <v>1743.1796795370105</v>
      </c>
      <c r="AF104" s="548">
        <f t="shared" si="109"/>
        <v>5.9632406928704654E-2</v>
      </c>
      <c r="AH104" s="181">
        <f t="shared" si="110"/>
        <v>0.98785481871434055</v>
      </c>
      <c r="AI104" s="181">
        <f t="shared" si="156"/>
        <v>1.45</v>
      </c>
      <c r="AJ104" s="181">
        <f t="shared" si="157"/>
        <v>2.0592592592592593</v>
      </c>
      <c r="AL104" s="565">
        <f t="shared" si="113"/>
        <v>297</v>
      </c>
      <c r="AM104" s="474">
        <f t="shared" si="114"/>
        <v>93.38421999454404</v>
      </c>
      <c r="AO104" t="str">
        <f t="shared" si="139"/>
        <v/>
      </c>
      <c r="AP104" t="str">
        <f t="shared" si="115"/>
        <v/>
      </c>
      <c r="AR104" s="6">
        <f t="shared" si="140"/>
        <v>10.708447316456944</v>
      </c>
      <c r="AS104" s="6">
        <f t="shared" si="116"/>
        <v>4.833333333333333</v>
      </c>
      <c r="AT104" s="6">
        <f t="shared" si="141"/>
        <v>5.8751139831236108</v>
      </c>
      <c r="AU104" s="181">
        <f t="shared" si="142"/>
        <v>0.45135706330696285</v>
      </c>
      <c r="AW104" s="6">
        <f t="shared" si="117"/>
        <v>9.5699999999999985</v>
      </c>
      <c r="AX104" s="6">
        <f t="shared" si="118"/>
        <v>17.943749999999998</v>
      </c>
      <c r="AY104" s="6">
        <f t="shared" si="119"/>
        <v>4.0391408633974821</v>
      </c>
      <c r="AZ104" s="6"/>
      <c r="BA104" s="181">
        <f t="shared" si="143"/>
        <v>0.5624287289968064</v>
      </c>
      <c r="BB104" s="181">
        <f t="shared" si="120"/>
        <v>0.62008649246082626</v>
      </c>
      <c r="BC104" s="181">
        <f t="shared" si="121"/>
        <v>0.61131759256744078</v>
      </c>
      <c r="BD104" s="181"/>
      <c r="BE104" s="548">
        <f t="shared" si="122"/>
        <v>0.11071412632033709</v>
      </c>
      <c r="BF104" s="548">
        <f t="shared" si="123"/>
        <v>3.6898439925344209E-2</v>
      </c>
      <c r="BG104" s="548">
        <f t="shared" si="124"/>
        <v>1.1673027499318003E-3</v>
      </c>
      <c r="BH104" s="548">
        <f t="shared" si="125"/>
        <v>3.9872581419326701E-3</v>
      </c>
      <c r="BI104">
        <f t="shared" si="126"/>
        <v>3.48E-3</v>
      </c>
      <c r="BJ104" s="474">
        <f t="shared" si="144"/>
        <v>156.24712713754579</v>
      </c>
      <c r="BK104" s="181">
        <f t="shared" si="127"/>
        <v>0.10394999999999999</v>
      </c>
      <c r="BL104" s="181">
        <f t="shared" si="128"/>
        <v>0.10394999999999999</v>
      </c>
      <c r="BM104" s="548"/>
      <c r="BO104" s="474">
        <f t="shared" si="145"/>
        <v>207.89999999999998</v>
      </c>
      <c r="BP104" s="548">
        <f t="shared" si="129"/>
        <v>0</v>
      </c>
      <c r="BQ104" s="548">
        <f t="shared" si="130"/>
        <v>0</v>
      </c>
      <c r="BR104" s="548">
        <f t="shared" si="131"/>
        <v>3.3633827908420635E-2</v>
      </c>
      <c r="BS104" s="548">
        <f t="shared" si="132"/>
        <v>1.0667772588487301E-2</v>
      </c>
      <c r="BT104" s="658">
        <f t="shared" si="133"/>
        <v>0.20615733866545533</v>
      </c>
      <c r="BU104" s="474">
        <f t="shared" si="146"/>
        <v>250.45893916236329</v>
      </c>
      <c r="BV104" s="181">
        <f t="shared" si="147"/>
        <v>0.61460606629990899</v>
      </c>
      <c r="BW104" s="6">
        <f t="shared" si="148"/>
        <v>5.1948057439170316</v>
      </c>
      <c r="BX104" s="181">
        <f t="shared" si="149"/>
        <v>0.89420511294809424</v>
      </c>
      <c r="BY104" s="6">
        <f t="shared" si="150"/>
        <v>89.42051129480943</v>
      </c>
      <c r="BZ104">
        <f t="shared" si="151"/>
        <v>99</v>
      </c>
      <c r="CB104" s="583">
        <f t="shared" si="134"/>
        <v>-50</v>
      </c>
      <c r="CC104">
        <f t="shared" si="135"/>
        <v>-50</v>
      </c>
    </row>
    <row r="105" spans="5:81" x14ac:dyDescent="0.2">
      <c r="E105" s="178">
        <v>100</v>
      </c>
      <c r="F105" s="225">
        <f t="shared" si="159"/>
        <v>0.3</v>
      </c>
      <c r="G105" s="225">
        <f t="shared" si="136"/>
        <v>0.3</v>
      </c>
      <c r="H105" s="225">
        <f t="shared" si="91"/>
        <v>4.5</v>
      </c>
      <c r="I105" s="225">
        <f t="shared" si="153"/>
        <v>2.4</v>
      </c>
      <c r="J105" s="561">
        <f t="shared" si="92"/>
        <v>12</v>
      </c>
      <c r="K105" s="456">
        <f t="shared" si="93"/>
        <v>9.7759274032708401</v>
      </c>
      <c r="L105" s="456">
        <f t="shared" si="94"/>
        <v>27.25</v>
      </c>
      <c r="M105" s="456"/>
      <c r="N105" s="225">
        <f t="shared" si="95"/>
        <v>0.55963302752293576</v>
      </c>
      <c r="O105" s="180">
        <f t="shared" si="158"/>
        <v>2.8577782209812521</v>
      </c>
      <c r="P105" s="180">
        <f t="shared" si="96"/>
        <v>2.3370275229357795</v>
      </c>
      <c r="Q105" s="225">
        <f t="shared" si="97"/>
        <v>0.19051854806541682</v>
      </c>
      <c r="R105" s="225">
        <f t="shared" si="98"/>
        <v>0.35722227762265651</v>
      </c>
      <c r="S105" s="456">
        <f t="shared" si="99"/>
        <v>9.5259274032708401</v>
      </c>
      <c r="T105" s="225">
        <f t="shared" si="100"/>
        <v>1.45</v>
      </c>
      <c r="U105" s="225">
        <f t="shared" si="101"/>
        <v>4.833333333333333</v>
      </c>
      <c r="V105" s="225">
        <f t="shared" si="102"/>
        <v>5.9329409484561335</v>
      </c>
      <c r="W105" s="205">
        <f t="shared" si="103"/>
        <v>350</v>
      </c>
      <c r="X105" s="456">
        <f t="shared" si="138"/>
        <v>92.882642019574249</v>
      </c>
      <c r="Z105" s="225">
        <f t="shared" si="104"/>
        <v>0.38479951693823622</v>
      </c>
      <c r="AA105" s="181">
        <f t="shared" si="105"/>
        <v>1.5744778006820697</v>
      </c>
      <c r="AB105" s="181">
        <f t="shared" si="154"/>
        <v>0.10602520199817647</v>
      </c>
      <c r="AC105" s="181"/>
      <c r="AD105" s="181">
        <f t="shared" si="107"/>
        <v>1.1865881896912267</v>
      </c>
      <c r="AE105" s="565">
        <f t="shared" si="155"/>
        <v>1743.6255772777954</v>
      </c>
      <c r="AF105" s="548">
        <f t="shared" si="109"/>
        <v>6.0219350626829753E-2</v>
      </c>
      <c r="AH105" s="181">
        <f t="shared" si="110"/>
        <v>0.99283144879394591</v>
      </c>
      <c r="AI105" s="181">
        <f t="shared" si="156"/>
        <v>1.45</v>
      </c>
      <c r="AJ105" s="181">
        <f t="shared" si="157"/>
        <v>2.0592592592592593</v>
      </c>
      <c r="AL105" s="565">
        <f t="shared" si="113"/>
        <v>300</v>
      </c>
      <c r="AM105" s="474">
        <f t="shared" si="114"/>
        <v>92.882642019574249</v>
      </c>
      <c r="AO105" t="str">
        <f t="shared" si="139"/>
        <v/>
      </c>
      <c r="AP105" s="4" t="str">
        <f t="shared" si="115"/>
        <v/>
      </c>
      <c r="AR105" s="6">
        <f t="shared" si="140"/>
        <v>10.766274281789467</v>
      </c>
      <c r="AS105" s="6">
        <f t="shared" si="116"/>
        <v>4.833333333333333</v>
      </c>
      <c r="AT105" s="6">
        <f t="shared" si="141"/>
        <v>5.9329409484561344</v>
      </c>
      <c r="AU105" s="181">
        <f t="shared" si="142"/>
        <v>0.44893276976127555</v>
      </c>
      <c r="AW105" s="6">
        <f t="shared" si="117"/>
        <v>9.6666666666666679</v>
      </c>
      <c r="AX105" s="6">
        <f t="shared" si="118"/>
        <v>18.125</v>
      </c>
      <c r="AY105" s="6">
        <f t="shared" si="119"/>
        <v>4.120097880872315</v>
      </c>
      <c r="AZ105" s="6"/>
      <c r="BA105" s="181">
        <f t="shared" si="143"/>
        <v>0.56091625887859642</v>
      </c>
      <c r="BB105" s="181">
        <f t="shared" si="120"/>
        <v>0.621454973315825</v>
      </c>
      <c r="BC105" s="181">
        <f t="shared" si="121"/>
        <v>0.61266672116792442</v>
      </c>
      <c r="BD105" s="181"/>
      <c r="BE105" s="548">
        <f t="shared" si="122"/>
        <v>0.1101194673160262</v>
      </c>
      <c r="BF105" s="548">
        <f t="shared" si="123"/>
        <v>3.6700253927984268E-2</v>
      </c>
      <c r="BG105" s="548">
        <f t="shared" si="124"/>
        <v>1.161033025244678E-3</v>
      </c>
      <c r="BH105" s="548">
        <f t="shared" si="125"/>
        <v>3.9658420947179564E-3</v>
      </c>
      <c r="BI105">
        <f t="shared" si="126"/>
        <v>3.48E-3</v>
      </c>
      <c r="BJ105" s="474">
        <f t="shared" si="144"/>
        <v>155.42659636397309</v>
      </c>
      <c r="BK105" s="181">
        <f t="shared" si="127"/>
        <v>0.105</v>
      </c>
      <c r="BL105" s="181">
        <f t="shared" si="128"/>
        <v>0.105</v>
      </c>
      <c r="BM105" s="548"/>
      <c r="BO105" s="474">
        <f t="shared" si="145"/>
        <v>210</v>
      </c>
      <c r="BP105" s="548">
        <f t="shared" si="129"/>
        <v>0</v>
      </c>
      <c r="BQ105" s="548">
        <f t="shared" si="130"/>
        <v>0</v>
      </c>
      <c r="BR105" s="548">
        <f t="shared" si="131"/>
        <v>3.3782446010398974E-2</v>
      </c>
      <c r="BS105" s="548">
        <f t="shared" si="132"/>
        <v>1.0525104358319499E-2</v>
      </c>
      <c r="BT105" s="658">
        <f t="shared" si="133"/>
        <v>0.20505004258846263</v>
      </c>
      <c r="BU105" s="474">
        <f t="shared" si="146"/>
        <v>249.35759295718111</v>
      </c>
      <c r="BV105" s="181">
        <f t="shared" si="147"/>
        <v>0.6147841893211542</v>
      </c>
      <c r="BW105" s="6">
        <f t="shared" si="148"/>
        <v>5.1948057439170316</v>
      </c>
      <c r="BX105" s="181">
        <f t="shared" si="149"/>
        <v>0.89417769646635248</v>
      </c>
      <c r="BY105" s="6">
        <f t="shared" si="150"/>
        <v>89.41776964663525</v>
      </c>
      <c r="BZ105">
        <f t="shared" si="151"/>
        <v>100</v>
      </c>
      <c r="CB105" s="583">
        <f t="shared" si="134"/>
        <v>-50</v>
      </c>
      <c r="CC105">
        <f t="shared" si="135"/>
        <v>-50</v>
      </c>
    </row>
    <row r="106" spans="5:81" x14ac:dyDescent="0.2">
      <c r="E106" s="178"/>
      <c r="F106" s="225"/>
      <c r="G106" s="225"/>
      <c r="H106" s="225"/>
      <c r="I106" s="225"/>
      <c r="J106" s="561"/>
      <c r="K106" s="456"/>
      <c r="L106" s="456"/>
      <c r="M106" s="456"/>
      <c r="N106" s="225"/>
      <c r="O106" s="180"/>
      <c r="P106" s="180"/>
      <c r="Q106" s="225"/>
      <c r="R106" s="225"/>
      <c r="S106" s="225"/>
      <c r="T106" s="225"/>
      <c r="U106" s="225"/>
      <c r="V106" s="225"/>
      <c r="W106" s="205"/>
      <c r="X106" s="456"/>
      <c r="Z106" s="225"/>
      <c r="AA106" s="181"/>
      <c r="AB106" s="181"/>
      <c r="AC106" s="181"/>
      <c r="AD106" s="181"/>
      <c r="AE106" s="565"/>
      <c r="AF106" s="548"/>
      <c r="AH106" s="181"/>
      <c r="AI106" s="181"/>
      <c r="AJ106" s="181"/>
      <c r="AL106" s="565"/>
      <c r="AM106" s="474"/>
      <c r="AP106" s="4"/>
      <c r="AR106" s="6"/>
      <c r="AS106" s="6"/>
      <c r="AT106" s="6"/>
      <c r="AU106" s="181"/>
      <c r="AW106" s="6"/>
      <c r="AX106" s="6"/>
      <c r="AY106" s="6"/>
      <c r="AZ106" s="6"/>
      <c r="BA106" s="181"/>
      <c r="BB106" s="181"/>
      <c r="BC106" s="181"/>
      <c r="BD106" s="181"/>
      <c r="BE106" s="548"/>
      <c r="BF106" s="548"/>
      <c r="BG106" s="548"/>
      <c r="BH106" s="548"/>
      <c r="BJ106" s="474"/>
      <c r="BK106" s="181"/>
      <c r="BL106" s="181"/>
      <c r="BM106" s="548"/>
      <c r="BO106" s="474"/>
      <c r="BP106" s="548"/>
      <c r="BQ106" s="548"/>
      <c r="BR106" s="548"/>
      <c r="BS106" s="548"/>
      <c r="BT106" s="658"/>
      <c r="BU106" s="474"/>
      <c r="BV106" s="181"/>
      <c r="BW106" s="6"/>
      <c r="BX106" s="181"/>
      <c r="BY106" s="6"/>
    </row>
    <row r="107" spans="5:81" x14ac:dyDescent="0.2">
      <c r="G107" s="225"/>
      <c r="H107" s="225"/>
      <c r="I107" s="225"/>
      <c r="J107" s="561"/>
      <c r="K107" s="456"/>
      <c r="L107" s="456"/>
      <c r="M107" s="456"/>
      <c r="N107" s="225"/>
      <c r="O107" s="180"/>
      <c r="P107" s="180"/>
      <c r="Q107" s="225"/>
      <c r="R107" s="225"/>
      <c r="S107" s="225"/>
      <c r="T107" s="225"/>
      <c r="U107" s="225"/>
      <c r="V107" s="225"/>
      <c r="W107" s="205"/>
      <c r="X107" s="456"/>
      <c r="Z107" s="225"/>
      <c r="AA107" s="181"/>
      <c r="AB107" s="181"/>
      <c r="AC107" s="181"/>
      <c r="AD107" s="181"/>
      <c r="AE107" s="565"/>
      <c r="AF107" s="548"/>
      <c r="AH107" s="181"/>
      <c r="AI107" s="181"/>
      <c r="AJ107" s="181"/>
      <c r="AL107" s="565"/>
      <c r="AM107" s="474"/>
      <c r="AR107" s="6"/>
      <c r="AS107" s="6"/>
      <c r="AT107" s="6"/>
      <c r="AU107" s="181"/>
      <c r="AW107" s="6"/>
      <c r="AX107" s="6"/>
      <c r="AY107" s="6"/>
      <c r="AZ107" s="6"/>
      <c r="BA107" s="181"/>
      <c r="BB107" s="181"/>
      <c r="BC107" s="181"/>
      <c r="BD107" s="181"/>
      <c r="BE107" s="548"/>
      <c r="BF107" s="548"/>
      <c r="BG107" s="548"/>
      <c r="BH107" s="548"/>
      <c r="BJ107" s="474"/>
      <c r="BK107" s="181"/>
      <c r="BL107" s="181"/>
      <c r="BM107" s="548"/>
      <c r="BO107" s="474"/>
      <c r="BP107" s="548"/>
      <c r="BQ107" s="548"/>
      <c r="BR107" s="548"/>
      <c r="BS107" s="548"/>
      <c r="BT107" s="658"/>
      <c r="BU107" s="474"/>
      <c r="BV107" s="181"/>
      <c r="BW107" s="6"/>
      <c r="BX107" s="181"/>
      <c r="BY107" s="6"/>
    </row>
    <row r="108" spans="5:81" x14ac:dyDescent="0.2">
      <c r="E108" s="458" t="s">
        <v>447</v>
      </c>
      <c r="G108" s="225"/>
      <c r="H108" s="225"/>
      <c r="I108" s="225"/>
      <c r="J108" s="561"/>
      <c r="K108" s="456"/>
      <c r="L108" s="456"/>
      <c r="M108" s="456"/>
      <c r="N108" s="225"/>
      <c r="O108" s="180"/>
      <c r="P108" s="180"/>
      <c r="Q108" s="225"/>
      <c r="R108" s="225"/>
      <c r="S108" s="225"/>
      <c r="T108" s="225"/>
      <c r="U108" s="225"/>
      <c r="V108" s="225"/>
      <c r="W108" s="205"/>
      <c r="X108" s="456"/>
      <c r="Z108" s="225"/>
      <c r="AA108" s="181"/>
      <c r="AB108" s="181"/>
      <c r="AC108" s="181"/>
      <c r="AD108" s="181"/>
      <c r="AE108" s="565"/>
      <c r="AF108" s="548"/>
      <c r="AH108" s="181"/>
      <c r="AI108" s="181"/>
      <c r="AJ108" s="181"/>
      <c r="AL108" s="565"/>
      <c r="AM108" s="474"/>
      <c r="AR108" s="6"/>
      <c r="AS108" s="6"/>
      <c r="AT108" s="6"/>
      <c r="AU108" s="181"/>
      <c r="AW108" s="553" t="s">
        <v>483</v>
      </c>
      <c r="AX108" s="553" t="s">
        <v>483</v>
      </c>
      <c r="AY108" s="553"/>
      <c r="AZ108" s="553"/>
      <c r="BA108" s="579" t="s">
        <v>484</v>
      </c>
      <c r="BB108" s="553"/>
      <c r="BC108" s="553"/>
      <c r="BD108" s="553"/>
      <c r="BE108" s="579" t="s">
        <v>508</v>
      </c>
      <c r="BF108" s="553"/>
      <c r="BG108" s="553"/>
      <c r="BH108" s="553"/>
      <c r="BI108" s="553"/>
      <c r="BJ108" s="553"/>
      <c r="BK108" s="579" t="s">
        <v>504</v>
      </c>
      <c r="BL108" s="553"/>
      <c r="BM108" s="553"/>
      <c r="BN108" s="553"/>
      <c r="BO108" s="553"/>
      <c r="BP108" s="580" t="s">
        <v>505</v>
      </c>
      <c r="BQ108" s="553"/>
      <c r="BR108" s="553"/>
      <c r="BS108" s="553"/>
      <c r="BT108" s="553"/>
      <c r="BU108" s="553"/>
      <c r="BV108" s="579"/>
      <c r="BW108" s="553"/>
      <c r="BX108" s="553"/>
      <c r="BY108" s="553"/>
      <c r="BZ108" s="553"/>
    </row>
    <row r="109" spans="5:81" ht="45" customHeight="1" thickBot="1" x14ac:dyDescent="0.25">
      <c r="E109" s="249" t="s">
        <v>25</v>
      </c>
      <c r="F109" s="627" t="s">
        <v>605</v>
      </c>
      <c r="G109" s="457" t="s">
        <v>604</v>
      </c>
      <c r="H109" s="628" t="s">
        <v>606</v>
      </c>
      <c r="I109" s="629" t="s">
        <v>607</v>
      </c>
      <c r="J109" s="250" t="s">
        <v>425</v>
      </c>
      <c r="K109" s="251" t="s">
        <v>431</v>
      </c>
      <c r="L109" s="547" t="s">
        <v>426</v>
      </c>
      <c r="M109" s="547"/>
      <c r="N109" s="252" t="s">
        <v>48</v>
      </c>
      <c r="O109" s="631" t="s">
        <v>615</v>
      </c>
      <c r="P109" s="631" t="s">
        <v>631</v>
      </c>
      <c r="Q109" s="547" t="s">
        <v>416</v>
      </c>
      <c r="R109" s="631" t="s">
        <v>609</v>
      </c>
      <c r="S109" s="547" t="s">
        <v>446</v>
      </c>
      <c r="T109" s="631" t="s">
        <v>427</v>
      </c>
      <c r="U109" s="547" t="s">
        <v>479</v>
      </c>
      <c r="V109" s="547" t="s">
        <v>478</v>
      </c>
      <c r="W109" s="567" t="s">
        <v>433</v>
      </c>
      <c r="X109" s="562" t="s">
        <v>438</v>
      </c>
      <c r="Z109" s="253" t="s">
        <v>430</v>
      </c>
      <c r="AA109" s="253" t="s">
        <v>477</v>
      </c>
      <c r="AB109" s="253" t="s">
        <v>612</v>
      </c>
      <c r="AC109" s="564"/>
      <c r="AD109" s="253" t="s">
        <v>476</v>
      </c>
      <c r="AE109" s="632" t="s">
        <v>439</v>
      </c>
      <c r="AF109" s="253" t="s">
        <v>613</v>
      </c>
      <c r="AG109" s="564"/>
      <c r="AH109" s="181"/>
      <c r="AI109" s="568" t="s">
        <v>443</v>
      </c>
      <c r="AJ109" s="568" t="s">
        <v>444</v>
      </c>
      <c r="AL109" s="563" t="s">
        <v>276</v>
      </c>
      <c r="AM109" s="563" t="s">
        <v>445</v>
      </c>
      <c r="AO109" s="253" t="s">
        <v>276</v>
      </c>
      <c r="AP109" s="253" t="s">
        <v>445</v>
      </c>
      <c r="AQ109" s="569"/>
      <c r="AR109" s="253" t="s">
        <v>480</v>
      </c>
      <c r="AS109" s="253" t="s">
        <v>474</v>
      </c>
      <c r="AT109" s="253" t="s">
        <v>475</v>
      </c>
      <c r="AU109" s="253" t="s">
        <v>48</v>
      </c>
      <c r="AV109" s="564"/>
      <c r="AW109" s="253" t="s">
        <v>616</v>
      </c>
      <c r="AX109" s="253" t="s">
        <v>617</v>
      </c>
      <c r="AY109" s="253" t="s">
        <v>531</v>
      </c>
      <c r="AZ109" s="564"/>
      <c r="BA109" s="578" t="s">
        <v>469</v>
      </c>
      <c r="BB109" s="253" t="s">
        <v>624</v>
      </c>
      <c r="BC109" s="253" t="s">
        <v>623</v>
      </c>
      <c r="BD109" s="564"/>
      <c r="BE109" s="578" t="s">
        <v>487</v>
      </c>
      <c r="BF109" s="253" t="s">
        <v>488</v>
      </c>
      <c r="BG109" s="253" t="s">
        <v>486</v>
      </c>
      <c r="BH109" s="253" t="s">
        <v>482</v>
      </c>
      <c r="BI109" s="253" t="s">
        <v>491</v>
      </c>
      <c r="BJ109" s="253" t="s">
        <v>506</v>
      </c>
      <c r="BK109" s="578" t="s">
        <v>626</v>
      </c>
      <c r="BL109" s="253" t="s">
        <v>625</v>
      </c>
      <c r="BM109" s="253" t="s">
        <v>490</v>
      </c>
      <c r="BN109" s="253" t="s">
        <v>498</v>
      </c>
      <c r="BO109" s="253" t="s">
        <v>502</v>
      </c>
      <c r="BP109" s="578" t="s">
        <v>471</v>
      </c>
      <c r="BQ109" s="253" t="s">
        <v>628</v>
      </c>
      <c r="BR109" s="253" t="s">
        <v>627</v>
      </c>
      <c r="BS109" s="253" t="s">
        <v>481</v>
      </c>
      <c r="BT109" s="253" t="s">
        <v>499</v>
      </c>
      <c r="BU109" s="253" t="s">
        <v>501</v>
      </c>
      <c r="BV109" s="578" t="s">
        <v>497</v>
      </c>
      <c r="BW109" s="253" t="s">
        <v>224</v>
      </c>
      <c r="BX109" s="253" t="s">
        <v>47</v>
      </c>
      <c r="BY109" s="253" t="s">
        <v>500</v>
      </c>
      <c r="BZ109" s="253" t="s">
        <v>629</v>
      </c>
      <c r="CB109" s="591" t="s">
        <v>513</v>
      </c>
    </row>
    <row r="110" spans="5:81" x14ac:dyDescent="0.2">
      <c r="E110" s="178">
        <v>0.1</v>
      </c>
      <c r="F110" s="225">
        <v>1.0000000000000001E-9</v>
      </c>
      <c r="G110" s="225">
        <f t="shared" ref="G110:G141" si="160">IF(PLOT_TYPE=1, E110/100*Iout2, min_I*EXP(Q110*rr/100))</f>
        <v>2.9999999999999997E-4</v>
      </c>
      <c r="H110" s="225">
        <f t="shared" ref="H110:H141" si="161">F110*Vout</f>
        <v>1.5000000000000002E-8</v>
      </c>
      <c r="I110" s="225">
        <f t="shared" ref="I110:I141" si="162">Vout2*G110</f>
        <v>2.3999999999999998E-3</v>
      </c>
      <c r="J110" s="561">
        <f t="shared" ref="J110:J173" si="163">VIN_min</f>
        <v>7</v>
      </c>
      <c r="K110" s="456">
        <f t="shared" ref="K110:K173" si="164">(S110+Vfwd1)*Nps</f>
        <v>15.25</v>
      </c>
      <c r="L110" s="456">
        <f t="shared" ref="L110:L173" si="165">(Vout+Vfwd1)*Nps+J110</f>
        <v>22.25</v>
      </c>
      <c r="M110" s="456"/>
      <c r="N110" s="225">
        <f t="shared" ref="N110:N173" si="166">(Vout+Vfwd1)*Nps/((Vout+Vfwd1)*Nps+J110)</f>
        <v>0.6853932584269663</v>
      </c>
      <c r="O110" s="180">
        <f t="shared" ref="O110:O141" si="167">N110*J110*Isw_max*0.5*Efficiency*Pout/(Pout+Pout2)</f>
        <v>2.0416524181729359</v>
      </c>
      <c r="P110" s="180">
        <f t="shared" ref="P110:P141" si="168">N110*J110*Isw_max*0.5*Efficiency*(Pout2/Pout_total)</f>
        <v>1.6696179775280899</v>
      </c>
      <c r="Q110" s="225">
        <f t="shared" ref="Q110:Q173" si="169">O110/Vout</f>
        <v>0.13611016121152905</v>
      </c>
      <c r="R110" s="225">
        <f t="shared" ref="R110:R141" si="170">O110/Vout2</f>
        <v>0.25520655227161698</v>
      </c>
      <c r="S110" s="225">
        <f t="shared" ref="S110:S141" si="171">MIN(Vout,O110/F110)</f>
        <v>15</v>
      </c>
      <c r="T110" s="225">
        <f t="shared" ref="T110:T141" si="172">MIN(2*(Vout*F110+Vout2*G110)/(Efficiency*J110*N110), Isw_max)</f>
        <v>1.1116384855581576E-3</v>
      </c>
      <c r="U110" s="225">
        <f t="shared" ref="U110:U173" si="173">L*T110/J110*1000000</f>
        <v>6.3522199174751862E-3</v>
      </c>
      <c r="V110" s="225">
        <f t="shared" ref="V110:V173" si="174">L*T110/K110*1000000</f>
        <v>2.9157730768738558E-3</v>
      </c>
      <c r="W110" s="205">
        <f t="shared" ref="W110:W173" si="175">IF(1/((350000*L)*(1/J110+1/K110))&gt;Isw_min, 350, 0.001/((Isw_min*L)*(1/J110+1/K110)))</f>
        <v>350</v>
      </c>
      <c r="X110" s="456">
        <f t="shared" ref="X110:X173" si="176">MIN(1/(U110+V110)*1000, 350)</f>
        <v>350</v>
      </c>
      <c r="Z110" s="225">
        <f t="shared" ref="Z110:Z173" si="177">1/((W110*1000*L)*(1/J110+1/K110))</f>
        <v>0.34269662921348309</v>
      </c>
      <c r="AA110" s="181">
        <f t="shared" ref="AA110:AA173" si="178">L*Z110/K110*1000000</f>
        <v>0.89887640449438189</v>
      </c>
      <c r="AB110" s="181">
        <f t="shared" ref="AB110:AB141" si="179">0.5*AA110*Z110*Nps*W110/1000*(Pout/(Pout+Pout2))</f>
        <v>3.5156957564646527E-2</v>
      </c>
      <c r="AC110" s="181"/>
      <c r="AD110" s="181">
        <f t="shared" ref="AD110:AD173" si="180">L*Isw_min/K110*1000000</f>
        <v>0.76065573770491812</v>
      </c>
      <c r="AE110" s="565">
        <f t="shared" ref="AE110:AE141" si="181">MAX(10, F110/(0.5*AD110/1000000*Isw_min*Nps)/1000*Pout_total/Pout)</f>
        <v>10</v>
      </c>
      <c r="AF110" s="548">
        <f t="shared" ref="AF110:AF141" si="182">0.5*AD110/1000000*Isw_min*Nps*W110*1000*(Pout/Pout_total)</f>
        <v>3.8603278688524589E-2</v>
      </c>
      <c r="AH110" s="181">
        <f t="shared" ref="AH110:AH141" si="183">SQRT((H110+I110)/(0.5*L*Fsw_DCM))</f>
        <v>1.851645985911685E-2</v>
      </c>
      <c r="AI110" s="181">
        <f t="shared" ref="AI110:AI141" si="184">MAX(IF(F110&gt;AB110,T110,AH110),Isw_min)</f>
        <v>0.28999999999999998</v>
      </c>
      <c r="AJ110" s="181">
        <f t="shared" ref="AJ110:AJ141" si="185">IF(F110&gt;AF110, (AI110-Isw_min)/1.08*0.8+1.2, AE110*0.2/350+1)</f>
        <v>1.0057142857142858</v>
      </c>
      <c r="AL110" s="565">
        <f t="shared" ref="AL110:AL141" si="186">F110*1000</f>
        <v>1.0000000000000002E-6</v>
      </c>
      <c r="AM110" s="474">
        <f t="shared" ref="AM110:AM141" si="187">IF(F110&gt;AF110, X110, AE110)</f>
        <v>10</v>
      </c>
      <c r="AO110" s="474">
        <f t="shared" ref="AO110:AO173" si="188">IF(H110&gt;O110, "",AL110)</f>
        <v>1.0000000000000002E-6</v>
      </c>
      <c r="AP110" s="474">
        <f t="shared" ref="AP110:AP173" si="189">IF(H110&gt;O110, "",AM110)</f>
        <v>10</v>
      </c>
      <c r="AR110" s="6">
        <f t="shared" si="140"/>
        <v>100</v>
      </c>
      <c r="AS110" s="6">
        <f t="shared" ref="AS110:AS114" si="190">L*AI110/J110*1000000</f>
        <v>1.6571428571428573</v>
      </c>
      <c r="AT110" s="6">
        <f t="shared" ref="AT110:AT114" si="191">AR110-AS110</f>
        <v>98.342857142857142</v>
      </c>
      <c r="AU110" s="181">
        <f t="shared" ref="AU110:AU114" si="192">AS110/AR110</f>
        <v>1.6571428571428574E-2</v>
      </c>
      <c r="AW110" s="6">
        <f t="shared" ref="AW110:AW169" si="193">F110*AS110/Vout_ripple*1000</f>
        <v>1.1047619047619049E-8</v>
      </c>
      <c r="AX110" s="6">
        <f t="shared" ref="AX110:AX169" si="194">G110*AS110/Vout_ripple2*1000</f>
        <v>6.2142857142857139E-3</v>
      </c>
      <c r="AY110" s="6">
        <f t="shared" ref="AY110:AY169" si="195">H110/Efficiency/J110*AT110/Vinripple1</f>
        <v>3.9024943310657591E-7</v>
      </c>
      <c r="AZ110" s="6"/>
      <c r="BA110" s="181">
        <f t="shared" ref="BA110:BA169" si="196">AI110*SQRT(AU110/3)</f>
        <v>2.155347723575899E-2</v>
      </c>
      <c r="BB110" s="181">
        <f t="shared" ref="BB110:BB169" si="197">AI110*Npri_sec1*SQRT((1-AU110)/3)*(Pout/Pout_total)</f>
        <v>0.16603849238167923</v>
      </c>
      <c r="BC110" s="181">
        <f t="shared" ref="BC110:BC169" si="198">AI110*Npri_sec2*SQRT((1-AU110)/3)*(Pout2/Pout_total)</f>
        <v>0.16369047329749387</v>
      </c>
      <c r="BD110" s="181"/>
      <c r="BE110" s="548">
        <f t="shared" ref="BE110:BE169" si="199">Rdson*BA110^2</f>
        <v>1.6259333333333334E-4</v>
      </c>
      <c r="BF110" s="548">
        <f t="shared" ref="BF110:BF169" si="200">0.5*L110*AI110*AM110*1000*Trise</f>
        <v>6.4524999999999999E-4</v>
      </c>
      <c r="BG110" s="548">
        <f t="shared" ref="BG110:BG169" si="201">Qg*Vdd*AM110*1000</f>
        <v>1.25E-4</v>
      </c>
      <c r="BH110" s="548">
        <f t="shared" ref="BH110:BH169" si="202">0.5*(Coss+Csw)*L110^2*AM110*1000</f>
        <v>2.8466093749999994E-4</v>
      </c>
      <c r="BI110">
        <f t="shared" ref="BI110:BI169" si="203">J110*IQ</f>
        <v>2.0300000000000001E-3</v>
      </c>
      <c r="BJ110" s="474">
        <f t="shared" ref="BJ110:BJ169" si="204">SUM(BE110:BI110)*1000</f>
        <v>3.2475042708333333</v>
      </c>
      <c r="BK110" s="181">
        <f t="shared" ref="BK110:BK169" si="205">Vfwd2*F110</f>
        <v>3.4999999999999998E-10</v>
      </c>
      <c r="BL110" s="181">
        <f t="shared" ref="BL110:BL169" si="206">Vfwd2*G110</f>
        <v>1.0499999999999999E-4</v>
      </c>
      <c r="BM110" s="548"/>
      <c r="BO110" s="474">
        <f t="shared" ref="BO110:BO169" si="207">SUM(BK110:BN110)*1000</f>
        <v>0.10500034999999999</v>
      </c>
      <c r="BP110" s="548">
        <f t="shared" ref="BP110:BP169" si="208">Rdcr_pri*BA110^2</f>
        <v>0</v>
      </c>
      <c r="BQ110" s="548">
        <f t="shared" ref="BQ110:BQ169" si="209">Rdcr_sec*BB110^2</f>
        <v>0</v>
      </c>
      <c r="BR110" s="548">
        <f t="shared" ref="BR110:BR169" si="210">Rdcr_sec2*BC110^2</f>
        <v>2.4115113943521797E-3</v>
      </c>
      <c r="BS110" s="548">
        <f t="shared" ref="BS110:BS169" si="211">AI110^2.5*AM110^2.5*k_core</f>
        <v>7.1608569668720578E-7</v>
      </c>
      <c r="BT110" s="658">
        <f t="shared" ref="BT110:BT141" si="212">0.5*Lleak*0.000000001*AI110^2*AM110*1000</f>
        <v>8.8305000000000002E-4</v>
      </c>
      <c r="BU110" s="474">
        <f t="shared" ref="BU110:BU169" si="213">SUM(BP110:BT110)*1000</f>
        <v>3.2952774800488669</v>
      </c>
      <c r="BV110" s="181">
        <f t="shared" ref="BV110:BV169" si="214">SUM(BE110:BI110,BK110:BN110,BP110:BT110)</f>
        <v>6.6477821008821998E-3</v>
      </c>
      <c r="BW110" s="6">
        <f t="shared" ref="BW110:BW169" si="215">MIN(H110+I110,O110+P110)</f>
        <v>2.4000149999999997E-3</v>
      </c>
      <c r="BX110" s="181">
        <f t="shared" ref="BX110:BX169" si="216">BW110/(BW110+BV110)</f>
        <v>0.26525959559437817</v>
      </c>
      <c r="BY110" s="6">
        <f t="shared" ref="BY110:BY169" si="217">BX110*100</f>
        <v>26.525959559437815</v>
      </c>
      <c r="BZ110">
        <f t="shared" ref="BZ110:BZ169" si="218">F110/Iout*100</f>
        <v>3.3333333333333341E-7</v>
      </c>
      <c r="CB110" s="583">
        <f t="shared" ref="CB110:CB141" si="219">IF(ABS(F110-Ioutmax_Vinmin)&lt;Iout/200, AM110, -50)</f>
        <v>-50</v>
      </c>
      <c r="CC110">
        <f t="shared" ref="CC110:CC141" si="220">IF(ABS(F110-Ioutmax_Vinmin)&lt;Iout/200, (O110+P110)*BX110, -50)</f>
        <v>-50</v>
      </c>
    </row>
    <row r="111" spans="5:81" x14ac:dyDescent="0.2">
      <c r="E111" s="178">
        <v>1</v>
      </c>
      <c r="F111" s="225">
        <f t="shared" ref="F111:F142" si="221">IF(PLOT_TYPE=1, E111/100*Iout_max, min_I*EXP(O111*rr/100))</f>
        <v>3.0000000000000001E-3</v>
      </c>
      <c r="G111" s="225">
        <f t="shared" si="160"/>
        <v>3.0000000000000001E-3</v>
      </c>
      <c r="H111" s="225">
        <f t="shared" si="161"/>
        <v>4.4999999999999998E-2</v>
      </c>
      <c r="I111" s="225">
        <f t="shared" si="162"/>
        <v>2.4E-2</v>
      </c>
      <c r="J111" s="561">
        <f t="shared" si="163"/>
        <v>7</v>
      </c>
      <c r="K111" s="456">
        <f t="shared" si="164"/>
        <v>15.25</v>
      </c>
      <c r="L111" s="456">
        <f t="shared" si="165"/>
        <v>22.25</v>
      </c>
      <c r="M111" s="456"/>
      <c r="N111" s="225">
        <f t="shared" si="166"/>
        <v>0.6853932584269663</v>
      </c>
      <c r="O111" s="180">
        <f t="shared" si="167"/>
        <v>2.0416524181729359</v>
      </c>
      <c r="P111" s="180">
        <f t="shared" si="168"/>
        <v>1.6696179775280899</v>
      </c>
      <c r="Q111" s="225">
        <f t="shared" si="169"/>
        <v>0.13611016121152905</v>
      </c>
      <c r="R111" s="225">
        <f t="shared" si="170"/>
        <v>0.25520655227161698</v>
      </c>
      <c r="S111" s="225">
        <f t="shared" si="171"/>
        <v>15</v>
      </c>
      <c r="T111" s="225">
        <f t="shared" si="172"/>
        <v>3.1959406713505077E-2</v>
      </c>
      <c r="U111" s="225">
        <f t="shared" si="173"/>
        <v>0.18262518122002902</v>
      </c>
      <c r="V111" s="225">
        <f t="shared" si="174"/>
        <v>8.3827952035423162E-2</v>
      </c>
      <c r="W111" s="205">
        <f t="shared" si="175"/>
        <v>350</v>
      </c>
      <c r="X111" s="456">
        <f t="shared" si="176"/>
        <v>350</v>
      </c>
      <c r="Z111" s="225">
        <f t="shared" si="177"/>
        <v>0.34269662921348309</v>
      </c>
      <c r="AA111" s="181">
        <f t="shared" si="178"/>
        <v>0.89887640449438189</v>
      </c>
      <c r="AB111" s="181">
        <f t="shared" si="179"/>
        <v>3.5156957564646527E-2</v>
      </c>
      <c r="AC111" s="181"/>
      <c r="AD111" s="181">
        <f t="shared" si="180"/>
        <v>0.76065573770491812</v>
      </c>
      <c r="AE111" s="565">
        <f t="shared" si="181"/>
        <v>27.199762187871581</v>
      </c>
      <c r="AF111" s="548">
        <f t="shared" si="182"/>
        <v>3.8603278688524589E-2</v>
      </c>
      <c r="AH111" s="181">
        <f t="shared" si="183"/>
        <v>9.9283144879394589E-2</v>
      </c>
      <c r="AI111" s="181">
        <f t="shared" si="184"/>
        <v>0.28999999999999998</v>
      </c>
      <c r="AJ111" s="181">
        <f t="shared" si="185"/>
        <v>1.0155427212502124</v>
      </c>
      <c r="AL111" s="565">
        <f t="shared" si="186"/>
        <v>3</v>
      </c>
      <c r="AM111" s="474">
        <f t="shared" si="187"/>
        <v>27.199762187871581</v>
      </c>
      <c r="AO111" s="474">
        <f t="shared" si="188"/>
        <v>3</v>
      </c>
      <c r="AP111" s="474">
        <f t="shared" si="189"/>
        <v>27.199762187871581</v>
      </c>
      <c r="AR111" s="6">
        <f t="shared" si="140"/>
        <v>36.765027322404372</v>
      </c>
      <c r="AS111" s="6">
        <f t="shared" si="190"/>
        <v>1.6571428571428573</v>
      </c>
      <c r="AT111" s="6">
        <f t="shared" si="191"/>
        <v>35.107884465261513</v>
      </c>
      <c r="AU111" s="181">
        <f t="shared" si="192"/>
        <v>4.5073891625615765E-2</v>
      </c>
      <c r="AW111" s="6">
        <f t="shared" si="193"/>
        <v>3.3142857142857148E-2</v>
      </c>
      <c r="AX111" s="6">
        <f t="shared" si="194"/>
        <v>6.2142857142857152E-2</v>
      </c>
      <c r="AY111" s="6">
        <f t="shared" si="195"/>
        <v>0.41795100553882752</v>
      </c>
      <c r="AZ111" s="6"/>
      <c r="BA111" s="181">
        <f t="shared" si="196"/>
        <v>3.5546749901663705E-2</v>
      </c>
      <c r="BB111" s="181">
        <f t="shared" si="197"/>
        <v>0.16361467508986441</v>
      </c>
      <c r="BC111" s="181">
        <f t="shared" si="198"/>
        <v>0.16130093220980571</v>
      </c>
      <c r="BD111" s="181"/>
      <c r="BE111" s="548">
        <f t="shared" si="199"/>
        <v>4.4224999999999999E-4</v>
      </c>
      <c r="BF111" s="548">
        <f t="shared" si="200"/>
        <v>1.7550646551724137E-3</v>
      </c>
      <c r="BG111" s="548">
        <f t="shared" si="201"/>
        <v>3.3999702734839474E-4</v>
      </c>
      <c r="BH111" s="548">
        <f t="shared" si="202"/>
        <v>7.7427098041765751E-4</v>
      </c>
      <c r="BI111">
        <f t="shared" si="203"/>
        <v>2.0300000000000001E-3</v>
      </c>
      <c r="BJ111" s="474">
        <f t="shared" si="204"/>
        <v>5.3415826629384657</v>
      </c>
      <c r="BK111" s="181">
        <f t="shared" si="205"/>
        <v>1.0499999999999999E-3</v>
      </c>
      <c r="BL111" s="181">
        <f t="shared" si="206"/>
        <v>1.0499999999999999E-3</v>
      </c>
      <c r="BM111" s="548"/>
      <c r="BO111" s="474">
        <f t="shared" si="207"/>
        <v>2.1</v>
      </c>
      <c r="BP111" s="548">
        <f t="shared" si="208"/>
        <v>0</v>
      </c>
      <c r="BQ111" s="548">
        <f t="shared" si="209"/>
        <v>0</v>
      </c>
      <c r="BR111" s="548">
        <f t="shared" si="210"/>
        <v>2.3416191658577105E-3</v>
      </c>
      <c r="BS111" s="548">
        <f t="shared" si="211"/>
        <v>8.7373104359560088E-6</v>
      </c>
      <c r="BT111" s="658">
        <f t="shared" si="212"/>
        <v>2.4018750000000004E-3</v>
      </c>
      <c r="BU111" s="474">
        <f t="shared" si="213"/>
        <v>4.7522314762936668</v>
      </c>
      <c r="BV111" s="181">
        <f t="shared" si="214"/>
        <v>1.2193814139232134E-2</v>
      </c>
      <c r="BW111" s="6">
        <f t="shared" si="215"/>
        <v>6.9000000000000006E-2</v>
      </c>
      <c r="BX111" s="181">
        <f t="shared" si="216"/>
        <v>0.84981843421812853</v>
      </c>
      <c r="BY111" s="6">
        <f t="shared" si="217"/>
        <v>84.981843421812854</v>
      </c>
      <c r="BZ111">
        <f t="shared" si="218"/>
        <v>1</v>
      </c>
      <c r="CB111" s="583">
        <f t="shared" si="219"/>
        <v>-50</v>
      </c>
      <c r="CC111">
        <f t="shared" si="220"/>
        <v>-50</v>
      </c>
    </row>
    <row r="112" spans="5:81" x14ac:dyDescent="0.2">
      <c r="E112" s="178">
        <v>2</v>
      </c>
      <c r="F112" s="225">
        <f t="shared" si="221"/>
        <v>6.0000000000000001E-3</v>
      </c>
      <c r="G112" s="225">
        <f t="shared" si="160"/>
        <v>6.0000000000000001E-3</v>
      </c>
      <c r="H112" s="225">
        <f t="shared" si="161"/>
        <v>0.09</v>
      </c>
      <c r="I112" s="225">
        <f t="shared" si="162"/>
        <v>4.8000000000000001E-2</v>
      </c>
      <c r="J112" s="561">
        <f t="shared" si="163"/>
        <v>7</v>
      </c>
      <c r="K112" s="456">
        <f t="shared" si="164"/>
        <v>15.25</v>
      </c>
      <c r="L112" s="456">
        <f t="shared" si="165"/>
        <v>22.25</v>
      </c>
      <c r="M112" s="456"/>
      <c r="N112" s="225">
        <f t="shared" si="166"/>
        <v>0.6853932584269663</v>
      </c>
      <c r="O112" s="180">
        <f t="shared" si="167"/>
        <v>2.0416524181729359</v>
      </c>
      <c r="P112" s="180">
        <f t="shared" si="168"/>
        <v>1.6696179775280899</v>
      </c>
      <c r="Q112" s="225">
        <f t="shared" si="169"/>
        <v>0.13611016121152905</v>
      </c>
      <c r="R112" s="225">
        <f t="shared" si="170"/>
        <v>0.25520655227161698</v>
      </c>
      <c r="S112" s="225">
        <f t="shared" si="171"/>
        <v>15</v>
      </c>
      <c r="T112" s="225">
        <f t="shared" si="172"/>
        <v>6.3918813427010154E-2</v>
      </c>
      <c r="U112" s="225">
        <f t="shared" si="173"/>
        <v>0.36525036244005804</v>
      </c>
      <c r="V112" s="225">
        <f t="shared" si="174"/>
        <v>0.16765590407084632</v>
      </c>
      <c r="W112" s="205">
        <f t="shared" si="175"/>
        <v>350</v>
      </c>
      <c r="X112" s="456">
        <f t="shared" si="176"/>
        <v>350</v>
      </c>
      <c r="Z112" s="225">
        <f t="shared" si="177"/>
        <v>0.34269662921348309</v>
      </c>
      <c r="AA112" s="181">
        <f t="shared" si="178"/>
        <v>0.89887640449438189</v>
      </c>
      <c r="AB112" s="181">
        <f t="shared" si="179"/>
        <v>3.5156957564646527E-2</v>
      </c>
      <c r="AC112" s="181"/>
      <c r="AD112" s="181">
        <f t="shared" si="180"/>
        <v>0.76065573770491812</v>
      </c>
      <c r="AE112" s="565">
        <f t="shared" si="181"/>
        <v>54.399524375743162</v>
      </c>
      <c r="AF112" s="548">
        <f t="shared" si="182"/>
        <v>3.8603278688524589E-2</v>
      </c>
      <c r="AH112" s="181">
        <f t="shared" si="183"/>
        <v>0.14040757000349274</v>
      </c>
      <c r="AI112" s="181">
        <f t="shared" si="184"/>
        <v>0.28999999999999998</v>
      </c>
      <c r="AJ112" s="181">
        <f t="shared" si="185"/>
        <v>1.0310854425004248</v>
      </c>
      <c r="AL112" s="565">
        <f t="shared" si="186"/>
        <v>6</v>
      </c>
      <c r="AM112" s="474">
        <f t="shared" si="187"/>
        <v>54.399524375743162</v>
      </c>
      <c r="AO112" s="474">
        <f t="shared" si="188"/>
        <v>6</v>
      </c>
      <c r="AP112" s="474">
        <f t="shared" si="189"/>
        <v>54.399524375743162</v>
      </c>
      <c r="AR112" s="6">
        <f t="shared" si="140"/>
        <v>18.382513661202186</v>
      </c>
      <c r="AS112" s="6">
        <f t="shared" si="190"/>
        <v>1.6571428571428573</v>
      </c>
      <c r="AT112" s="6">
        <f t="shared" si="191"/>
        <v>16.725370804059327</v>
      </c>
      <c r="AU112" s="181">
        <f t="shared" si="192"/>
        <v>9.0147783251231531E-2</v>
      </c>
      <c r="AW112" s="6">
        <f t="shared" si="193"/>
        <v>6.6285714285714295E-2</v>
      </c>
      <c r="AX112" s="6">
        <f t="shared" si="194"/>
        <v>0.1242857142857143</v>
      </c>
      <c r="AY112" s="6">
        <f t="shared" si="195"/>
        <v>0.39822311438236485</v>
      </c>
      <c r="AZ112" s="6"/>
      <c r="BA112" s="181">
        <f t="shared" si="196"/>
        <v>5.0270695809217288E-2</v>
      </c>
      <c r="BB112" s="181">
        <f t="shared" si="197"/>
        <v>0.15970657618329456</v>
      </c>
      <c r="BC112" s="181">
        <f t="shared" si="198"/>
        <v>0.15744809934837928</v>
      </c>
      <c r="BD112" s="181"/>
      <c r="BE112" s="548">
        <f t="shared" si="199"/>
        <v>8.8449999999999976E-4</v>
      </c>
      <c r="BF112" s="548">
        <f t="shared" si="200"/>
        <v>3.5101293103448274E-3</v>
      </c>
      <c r="BG112" s="548">
        <f t="shared" si="201"/>
        <v>6.7999405469678948E-4</v>
      </c>
      <c r="BH112" s="548">
        <f t="shared" si="202"/>
        <v>1.548541960835315E-3</v>
      </c>
      <c r="BI112">
        <f t="shared" si="203"/>
        <v>2.0300000000000001E-3</v>
      </c>
      <c r="BJ112" s="474">
        <f t="shared" si="204"/>
        <v>8.6531653258769321</v>
      </c>
      <c r="BK112" s="181">
        <f t="shared" si="205"/>
        <v>2.0999999999999999E-3</v>
      </c>
      <c r="BL112" s="181">
        <f t="shared" si="206"/>
        <v>2.0999999999999999E-3</v>
      </c>
      <c r="BM112" s="548"/>
      <c r="BO112" s="474">
        <f t="shared" si="207"/>
        <v>4.2</v>
      </c>
      <c r="BP112" s="548">
        <f t="shared" si="208"/>
        <v>0</v>
      </c>
      <c r="BQ112" s="548">
        <f t="shared" si="209"/>
        <v>0</v>
      </c>
      <c r="BR112" s="548">
        <f t="shared" si="210"/>
        <v>2.2310913589575401E-3</v>
      </c>
      <c r="BS112" s="548">
        <f t="shared" si="211"/>
        <v>4.9425691668771833E-5</v>
      </c>
      <c r="BT112" s="658">
        <f t="shared" si="212"/>
        <v>4.8037500000000007E-3</v>
      </c>
      <c r="BU112" s="474">
        <f t="shared" si="213"/>
        <v>7.0842670506263126</v>
      </c>
      <c r="BV112" s="181">
        <f t="shared" si="214"/>
        <v>1.9937432376503243E-2</v>
      </c>
      <c r="BW112" s="6">
        <f t="shared" si="215"/>
        <v>0.13800000000000001</v>
      </c>
      <c r="BX112" s="181">
        <f t="shared" si="216"/>
        <v>0.87376372987389794</v>
      </c>
      <c r="BY112" s="6">
        <f t="shared" si="217"/>
        <v>87.3763729873898</v>
      </c>
      <c r="BZ112">
        <f t="shared" si="218"/>
        <v>2</v>
      </c>
      <c r="CB112" s="583">
        <f t="shared" si="219"/>
        <v>-50</v>
      </c>
      <c r="CC112">
        <f t="shared" si="220"/>
        <v>-50</v>
      </c>
    </row>
    <row r="113" spans="5:81" x14ac:dyDescent="0.2">
      <c r="E113" s="178">
        <v>3</v>
      </c>
      <c r="F113" s="225">
        <f t="shared" si="221"/>
        <v>8.9999999999999993E-3</v>
      </c>
      <c r="G113" s="225">
        <f t="shared" si="160"/>
        <v>8.9999999999999993E-3</v>
      </c>
      <c r="H113" s="225">
        <f t="shared" si="161"/>
        <v>0.13499999999999998</v>
      </c>
      <c r="I113" s="225">
        <f t="shared" si="162"/>
        <v>7.1999999999999995E-2</v>
      </c>
      <c r="J113" s="561">
        <f t="shared" si="163"/>
        <v>7</v>
      </c>
      <c r="K113" s="456">
        <f t="shared" si="164"/>
        <v>15.25</v>
      </c>
      <c r="L113" s="456">
        <f t="shared" si="165"/>
        <v>22.25</v>
      </c>
      <c r="M113" s="456"/>
      <c r="N113" s="225">
        <f t="shared" si="166"/>
        <v>0.6853932584269663</v>
      </c>
      <c r="O113" s="180">
        <f t="shared" si="167"/>
        <v>2.0416524181729359</v>
      </c>
      <c r="P113" s="180">
        <f t="shared" si="168"/>
        <v>1.6696179775280899</v>
      </c>
      <c r="Q113" s="225">
        <f t="shared" si="169"/>
        <v>0.13611016121152905</v>
      </c>
      <c r="R113" s="225">
        <f t="shared" si="170"/>
        <v>0.25520655227161698</v>
      </c>
      <c r="S113" s="225">
        <f t="shared" si="171"/>
        <v>15</v>
      </c>
      <c r="T113" s="225">
        <f t="shared" si="172"/>
        <v>9.5878220140515211E-2</v>
      </c>
      <c r="U113" s="225">
        <f t="shared" si="173"/>
        <v>0.54787554366008695</v>
      </c>
      <c r="V113" s="225">
        <f t="shared" si="174"/>
        <v>0.25148385610626944</v>
      </c>
      <c r="W113" s="205">
        <f t="shared" si="175"/>
        <v>350</v>
      </c>
      <c r="X113" s="456">
        <f t="shared" si="176"/>
        <v>350</v>
      </c>
      <c r="Z113" s="225">
        <f t="shared" si="177"/>
        <v>0.34269662921348309</v>
      </c>
      <c r="AA113" s="181">
        <f t="shared" si="178"/>
        <v>0.89887640449438189</v>
      </c>
      <c r="AB113" s="181">
        <f t="shared" si="179"/>
        <v>3.5156957564646527E-2</v>
      </c>
      <c r="AC113" s="181"/>
      <c r="AD113" s="181">
        <f t="shared" si="180"/>
        <v>0.76065573770491812</v>
      </c>
      <c r="AE113" s="565">
        <f t="shared" si="181"/>
        <v>81.599286563614726</v>
      </c>
      <c r="AF113" s="548">
        <f t="shared" si="182"/>
        <v>3.8603278688524589E-2</v>
      </c>
      <c r="AH113" s="181">
        <f t="shared" si="183"/>
        <v>0.17196345126633322</v>
      </c>
      <c r="AI113" s="181">
        <f t="shared" si="184"/>
        <v>0.28999999999999998</v>
      </c>
      <c r="AJ113" s="181">
        <f t="shared" si="185"/>
        <v>1.0466281637506369</v>
      </c>
      <c r="AL113" s="565">
        <f t="shared" si="186"/>
        <v>9</v>
      </c>
      <c r="AM113" s="474">
        <f t="shared" si="187"/>
        <v>81.599286563614726</v>
      </c>
      <c r="AO113" s="474">
        <f t="shared" si="188"/>
        <v>9</v>
      </c>
      <c r="AP113" s="474">
        <f t="shared" si="189"/>
        <v>81.599286563614726</v>
      </c>
      <c r="AR113" s="6">
        <f t="shared" si="140"/>
        <v>12.255009107468128</v>
      </c>
      <c r="AS113" s="6">
        <f t="shared" si="190"/>
        <v>1.6571428571428573</v>
      </c>
      <c r="AT113" s="6">
        <f t="shared" si="191"/>
        <v>10.597866250325271</v>
      </c>
      <c r="AU113" s="181">
        <f t="shared" si="192"/>
        <v>0.13522167487684725</v>
      </c>
      <c r="AW113" s="6">
        <f t="shared" si="193"/>
        <v>9.9428571428571436E-2</v>
      </c>
      <c r="AX113" s="6">
        <f t="shared" si="194"/>
        <v>0.18642857142857144</v>
      </c>
      <c r="AY113" s="6">
        <f t="shared" si="195"/>
        <v>0.3784952232259024</v>
      </c>
      <c r="AZ113" s="6"/>
      <c r="BA113" s="181">
        <f t="shared" si="196"/>
        <v>6.1568776873625511E-2</v>
      </c>
      <c r="BB113" s="181">
        <f t="shared" si="197"/>
        <v>0.15570041441055654</v>
      </c>
      <c r="BC113" s="181">
        <f t="shared" si="198"/>
        <v>0.15349859036838706</v>
      </c>
      <c r="BD113" s="181"/>
      <c r="BE113" s="548">
        <f t="shared" si="199"/>
        <v>1.3267499999999992E-3</v>
      </c>
      <c r="BF113" s="548">
        <f t="shared" si="200"/>
        <v>5.2651939655172396E-3</v>
      </c>
      <c r="BG113" s="548">
        <f t="shared" si="201"/>
        <v>1.0199910820451838E-3</v>
      </c>
      <c r="BH113" s="548">
        <f t="shared" si="202"/>
        <v>2.3228129412529719E-3</v>
      </c>
      <c r="BI113">
        <f t="shared" si="203"/>
        <v>2.0300000000000001E-3</v>
      </c>
      <c r="BJ113" s="474">
        <f t="shared" si="204"/>
        <v>11.964747988815395</v>
      </c>
      <c r="BK113" s="181">
        <f t="shared" si="205"/>
        <v>3.1499999999999996E-3</v>
      </c>
      <c r="BL113" s="181">
        <f t="shared" si="206"/>
        <v>3.1499999999999996E-3</v>
      </c>
      <c r="BM113" s="548"/>
      <c r="BO113" s="474">
        <f t="shared" si="207"/>
        <v>6.2999999999999989</v>
      </c>
      <c r="BP113" s="548">
        <f t="shared" si="208"/>
        <v>0</v>
      </c>
      <c r="BQ113" s="548">
        <f t="shared" si="209"/>
        <v>0</v>
      </c>
      <c r="BR113" s="548">
        <f t="shared" si="210"/>
        <v>2.1205635520573697E-3</v>
      </c>
      <c r="BS113" s="548">
        <f t="shared" si="211"/>
        <v>1.3620119036919815E-4</v>
      </c>
      <c r="BT113" s="658">
        <f t="shared" si="212"/>
        <v>7.2056249999999994E-3</v>
      </c>
      <c r="BU113" s="474">
        <f t="shared" si="213"/>
        <v>9.4623897424265664</v>
      </c>
      <c r="BV113" s="181">
        <f t="shared" si="214"/>
        <v>2.7727137731241965E-2</v>
      </c>
      <c r="BW113" s="6">
        <f t="shared" si="215"/>
        <v>0.20699999999999996</v>
      </c>
      <c r="BX113" s="181">
        <f t="shared" si="216"/>
        <v>0.88187502306193066</v>
      </c>
      <c r="BY113" s="6">
        <f t="shared" si="217"/>
        <v>88.187502306193068</v>
      </c>
      <c r="BZ113">
        <f t="shared" si="218"/>
        <v>3</v>
      </c>
      <c r="CB113" s="583">
        <f t="shared" si="219"/>
        <v>-50</v>
      </c>
      <c r="CC113">
        <f t="shared" si="220"/>
        <v>-50</v>
      </c>
    </row>
    <row r="114" spans="5:81" x14ac:dyDescent="0.2">
      <c r="E114" s="178">
        <v>4</v>
      </c>
      <c r="F114" s="225">
        <f t="shared" si="221"/>
        <v>1.2E-2</v>
      </c>
      <c r="G114" s="225">
        <f t="shared" si="160"/>
        <v>1.2E-2</v>
      </c>
      <c r="H114" s="225">
        <f t="shared" si="161"/>
        <v>0.18</v>
      </c>
      <c r="I114" s="225">
        <f t="shared" si="162"/>
        <v>9.6000000000000002E-2</v>
      </c>
      <c r="J114" s="561">
        <f t="shared" si="163"/>
        <v>7</v>
      </c>
      <c r="K114" s="456">
        <f t="shared" si="164"/>
        <v>15.25</v>
      </c>
      <c r="L114" s="456">
        <f t="shared" si="165"/>
        <v>22.25</v>
      </c>
      <c r="M114" s="456"/>
      <c r="N114" s="225">
        <f t="shared" si="166"/>
        <v>0.6853932584269663</v>
      </c>
      <c r="O114" s="180">
        <f t="shared" si="167"/>
        <v>2.0416524181729359</v>
      </c>
      <c r="P114" s="180">
        <f t="shared" si="168"/>
        <v>1.6696179775280899</v>
      </c>
      <c r="Q114" s="225">
        <f t="shared" si="169"/>
        <v>0.13611016121152905</v>
      </c>
      <c r="R114" s="225">
        <f t="shared" si="170"/>
        <v>0.25520655227161698</v>
      </c>
      <c r="S114" s="225">
        <f t="shared" si="171"/>
        <v>15</v>
      </c>
      <c r="T114" s="225">
        <f t="shared" si="172"/>
        <v>0.12783762685402031</v>
      </c>
      <c r="U114" s="225">
        <f t="shared" si="173"/>
        <v>0.73050072488011608</v>
      </c>
      <c r="V114" s="225">
        <f t="shared" si="174"/>
        <v>0.33531180814169265</v>
      </c>
      <c r="W114" s="205">
        <f t="shared" si="175"/>
        <v>350</v>
      </c>
      <c r="X114" s="456">
        <f t="shared" si="176"/>
        <v>350</v>
      </c>
      <c r="Z114" s="225">
        <f t="shared" si="177"/>
        <v>0.34269662921348309</v>
      </c>
      <c r="AA114" s="181">
        <f t="shared" si="178"/>
        <v>0.89887640449438189</v>
      </c>
      <c r="AB114" s="181">
        <f t="shared" si="179"/>
        <v>3.5156957564646527E-2</v>
      </c>
      <c r="AC114" s="181"/>
      <c r="AD114" s="181">
        <f t="shared" si="180"/>
        <v>0.76065573770491812</v>
      </c>
      <c r="AE114" s="565">
        <f t="shared" si="181"/>
        <v>108.79904875148632</v>
      </c>
      <c r="AF114" s="548">
        <f t="shared" si="182"/>
        <v>3.8603278688524589E-2</v>
      </c>
      <c r="AH114" s="181">
        <f t="shared" si="183"/>
        <v>0.19856628975878918</v>
      </c>
      <c r="AI114" s="181">
        <f t="shared" si="184"/>
        <v>0.28999999999999998</v>
      </c>
      <c r="AJ114" s="181">
        <f t="shared" si="185"/>
        <v>1.0621708850008493</v>
      </c>
      <c r="AL114" s="565">
        <f t="shared" si="186"/>
        <v>12</v>
      </c>
      <c r="AM114" s="474">
        <f t="shared" si="187"/>
        <v>108.79904875148632</v>
      </c>
      <c r="AO114" s="474">
        <f t="shared" si="188"/>
        <v>12</v>
      </c>
      <c r="AP114" s="474">
        <f t="shared" si="189"/>
        <v>108.79904875148632</v>
      </c>
      <c r="AR114" s="6">
        <f t="shared" si="140"/>
        <v>9.1912568306010929</v>
      </c>
      <c r="AS114" s="6">
        <f t="shared" si="190"/>
        <v>1.6571428571428573</v>
      </c>
      <c r="AT114" s="6">
        <f t="shared" si="191"/>
        <v>7.5341139734582354</v>
      </c>
      <c r="AU114" s="181">
        <f t="shared" si="192"/>
        <v>0.18029556650246306</v>
      </c>
      <c r="AW114" s="6">
        <f t="shared" si="193"/>
        <v>0.13257142857142859</v>
      </c>
      <c r="AX114" s="6">
        <f t="shared" si="194"/>
        <v>0.24857142857142861</v>
      </c>
      <c r="AY114" s="6">
        <f t="shared" si="195"/>
        <v>0.35876733206943973</v>
      </c>
      <c r="AZ114" s="6"/>
      <c r="BA114" s="181">
        <f t="shared" si="196"/>
        <v>7.1093499803327409E-2</v>
      </c>
      <c r="BB114" s="181">
        <f t="shared" si="197"/>
        <v>0.15158841518746616</v>
      </c>
      <c r="BC114" s="181">
        <f t="shared" si="198"/>
        <v>0.14944474062925955</v>
      </c>
      <c r="BD114" s="181"/>
      <c r="BE114" s="548">
        <f t="shared" si="199"/>
        <v>1.769E-3</v>
      </c>
      <c r="BF114" s="548">
        <f t="shared" si="200"/>
        <v>7.0202586206896548E-3</v>
      </c>
      <c r="BG114" s="548">
        <f t="shared" si="201"/>
        <v>1.359988109393579E-3</v>
      </c>
      <c r="BH114" s="548">
        <f t="shared" si="202"/>
        <v>3.09708392167063E-3</v>
      </c>
      <c r="BI114">
        <f t="shared" si="203"/>
        <v>2.0300000000000001E-3</v>
      </c>
      <c r="BJ114" s="474">
        <f t="shared" si="204"/>
        <v>15.276330651753863</v>
      </c>
      <c r="BK114" s="181">
        <f t="shared" si="205"/>
        <v>4.1999999999999997E-3</v>
      </c>
      <c r="BL114" s="181">
        <f t="shared" si="206"/>
        <v>4.1999999999999997E-3</v>
      </c>
      <c r="BM114" s="548"/>
      <c r="BO114" s="474">
        <f t="shared" si="207"/>
        <v>8.4</v>
      </c>
      <c r="BP114" s="548">
        <f t="shared" si="208"/>
        <v>0</v>
      </c>
      <c r="BQ114" s="548">
        <f t="shared" si="209"/>
        <v>0</v>
      </c>
      <c r="BR114" s="548">
        <f t="shared" si="210"/>
        <v>2.0100357451571993E-3</v>
      </c>
      <c r="BS114" s="548">
        <f t="shared" si="211"/>
        <v>2.7959393395059234E-4</v>
      </c>
      <c r="BT114" s="658">
        <f t="shared" si="212"/>
        <v>9.6075000000000015E-3</v>
      </c>
      <c r="BU114" s="474">
        <f t="shared" si="213"/>
        <v>11.897129679107794</v>
      </c>
      <c r="BV114" s="181">
        <f t="shared" si="214"/>
        <v>3.5573460330861659E-2</v>
      </c>
      <c r="BW114" s="6">
        <f t="shared" si="215"/>
        <v>0.27600000000000002</v>
      </c>
      <c r="BX114" s="181">
        <f t="shared" si="216"/>
        <v>0.88582641059002265</v>
      </c>
      <c r="BY114" s="6">
        <f t="shared" si="217"/>
        <v>88.58264105900227</v>
      </c>
      <c r="BZ114">
        <f t="shared" si="218"/>
        <v>4</v>
      </c>
      <c r="CB114" s="583">
        <f t="shared" si="219"/>
        <v>-50</v>
      </c>
      <c r="CC114">
        <f t="shared" si="220"/>
        <v>-50</v>
      </c>
    </row>
    <row r="115" spans="5:81" x14ac:dyDescent="0.2">
      <c r="E115" s="178">
        <v>5</v>
      </c>
      <c r="F115" s="225">
        <f t="shared" si="221"/>
        <v>1.4999999999999999E-2</v>
      </c>
      <c r="G115" s="225">
        <f t="shared" si="160"/>
        <v>1.4999999999999999E-2</v>
      </c>
      <c r="H115" s="225">
        <f t="shared" si="161"/>
        <v>0.22499999999999998</v>
      </c>
      <c r="I115" s="225">
        <f t="shared" si="162"/>
        <v>0.12</v>
      </c>
      <c r="J115" s="561">
        <f t="shared" si="163"/>
        <v>7</v>
      </c>
      <c r="K115" s="456">
        <f t="shared" si="164"/>
        <v>15.25</v>
      </c>
      <c r="L115" s="456">
        <f t="shared" si="165"/>
        <v>22.25</v>
      </c>
      <c r="M115" s="456"/>
      <c r="N115" s="225">
        <f t="shared" si="166"/>
        <v>0.6853932584269663</v>
      </c>
      <c r="O115" s="180">
        <f t="shared" si="167"/>
        <v>2.0416524181729359</v>
      </c>
      <c r="P115" s="180">
        <f t="shared" si="168"/>
        <v>1.6696179775280899</v>
      </c>
      <c r="Q115" s="225">
        <f t="shared" si="169"/>
        <v>0.13611016121152905</v>
      </c>
      <c r="R115" s="225">
        <f t="shared" si="170"/>
        <v>0.25520655227161698</v>
      </c>
      <c r="S115" s="225">
        <f t="shared" si="171"/>
        <v>15</v>
      </c>
      <c r="T115" s="225">
        <f t="shared" si="172"/>
        <v>0.15979703356752537</v>
      </c>
      <c r="U115" s="225">
        <f t="shared" si="173"/>
        <v>0.9131259061001451</v>
      </c>
      <c r="V115" s="225">
        <f t="shared" si="174"/>
        <v>0.41913976017711574</v>
      </c>
      <c r="W115" s="205">
        <f t="shared" si="175"/>
        <v>350</v>
      </c>
      <c r="X115" s="456">
        <f t="shared" si="176"/>
        <v>350</v>
      </c>
      <c r="Z115" s="225">
        <f t="shared" si="177"/>
        <v>0.34269662921348309</v>
      </c>
      <c r="AA115" s="181">
        <f t="shared" si="178"/>
        <v>0.89887640449438189</v>
      </c>
      <c r="AB115" s="181">
        <f t="shared" si="179"/>
        <v>3.5156957564646527E-2</v>
      </c>
      <c r="AC115" s="181"/>
      <c r="AD115" s="181">
        <f t="shared" si="180"/>
        <v>0.76065573770491812</v>
      </c>
      <c r="AE115" s="565">
        <f t="shared" si="181"/>
        <v>135.9988109393579</v>
      </c>
      <c r="AF115" s="548">
        <f t="shared" si="182"/>
        <v>3.8603278688524589E-2</v>
      </c>
      <c r="AH115" s="181">
        <f t="shared" si="183"/>
        <v>0.22200386097028643</v>
      </c>
      <c r="AI115" s="181">
        <f t="shared" si="184"/>
        <v>0.28999999999999998</v>
      </c>
      <c r="AJ115" s="181">
        <f t="shared" si="185"/>
        <v>1.0777136062510617</v>
      </c>
      <c r="AL115" s="565">
        <f t="shared" si="186"/>
        <v>15</v>
      </c>
      <c r="AM115" s="474">
        <f t="shared" si="187"/>
        <v>135.9988109393579</v>
      </c>
      <c r="AO115" s="474">
        <f t="shared" si="188"/>
        <v>15</v>
      </c>
      <c r="AP115" s="474">
        <f t="shared" si="189"/>
        <v>135.9988109393579</v>
      </c>
      <c r="AR115" s="6">
        <f t="shared" si="140"/>
        <v>7.3530054644808747</v>
      </c>
      <c r="AS115" s="6">
        <f t="shared" ref="AS115:AS178" si="222">L*AI115/J115*1000000</f>
        <v>1.6571428571428573</v>
      </c>
      <c r="AT115" s="6">
        <f t="shared" ref="AT115:AT178" si="223">AR115-AS115</f>
        <v>5.6958626073380172</v>
      </c>
      <c r="AU115" s="181">
        <f t="shared" ref="AU115:AU178" si="224">AS115/AR115</f>
        <v>0.22536945812807882</v>
      </c>
      <c r="AW115" s="6">
        <f t="shared" si="193"/>
        <v>0.16571428571428573</v>
      </c>
      <c r="AX115" s="6">
        <f t="shared" si="194"/>
        <v>0.31071428571428572</v>
      </c>
      <c r="AY115" s="6">
        <f t="shared" si="195"/>
        <v>0.33903944091297716</v>
      </c>
      <c r="AZ115" s="6"/>
      <c r="BA115" s="181">
        <f t="shared" si="196"/>
        <v>7.9484949159304014E-2</v>
      </c>
      <c r="BB115" s="181">
        <f t="shared" si="197"/>
        <v>0.14736171887731286</v>
      </c>
      <c r="BC115" s="181">
        <f t="shared" si="198"/>
        <v>0.14527781578207813</v>
      </c>
      <c r="BD115" s="181"/>
      <c r="BE115" s="548">
        <f t="shared" si="199"/>
        <v>2.2112500000000001E-3</v>
      </c>
      <c r="BF115" s="548">
        <f t="shared" si="200"/>
        <v>8.7753232758620674E-3</v>
      </c>
      <c r="BG115" s="548">
        <f t="shared" si="201"/>
        <v>1.6999851367419736E-3</v>
      </c>
      <c r="BH115" s="548">
        <f t="shared" si="202"/>
        <v>3.8713549020882869E-3</v>
      </c>
      <c r="BI115">
        <f t="shared" si="203"/>
        <v>2.0300000000000001E-3</v>
      </c>
      <c r="BJ115" s="474">
        <f t="shared" si="204"/>
        <v>18.587913314692329</v>
      </c>
      <c r="BK115" s="181">
        <f t="shared" si="205"/>
        <v>5.2499999999999995E-3</v>
      </c>
      <c r="BL115" s="181">
        <f t="shared" si="206"/>
        <v>5.2499999999999995E-3</v>
      </c>
      <c r="BM115" s="548"/>
      <c r="BO115" s="474">
        <f t="shared" si="207"/>
        <v>10.499999999999998</v>
      </c>
      <c r="BP115" s="548">
        <f t="shared" si="208"/>
        <v>0</v>
      </c>
      <c r="BQ115" s="548">
        <f t="shared" si="209"/>
        <v>0</v>
      </c>
      <c r="BR115" s="548">
        <f t="shared" si="210"/>
        <v>1.8995079382570284E-3</v>
      </c>
      <c r="BS115" s="548">
        <f t="shared" si="211"/>
        <v>4.8843050188289883E-4</v>
      </c>
      <c r="BT115" s="658">
        <f t="shared" si="212"/>
        <v>1.2009375000000001E-2</v>
      </c>
      <c r="BU115" s="474">
        <f t="shared" si="213"/>
        <v>14.397313440139929</v>
      </c>
      <c r="BV115" s="181">
        <f t="shared" si="214"/>
        <v>4.3485226754832261E-2</v>
      </c>
      <c r="BW115" s="6">
        <f t="shared" si="215"/>
        <v>0.34499999999999997</v>
      </c>
      <c r="BX115" s="181">
        <f t="shared" si="216"/>
        <v>0.88806465790711986</v>
      </c>
      <c r="BY115" s="6">
        <f t="shared" si="217"/>
        <v>88.806465790711982</v>
      </c>
      <c r="BZ115">
        <f t="shared" si="218"/>
        <v>5</v>
      </c>
      <c r="CB115" s="583">
        <f t="shared" si="219"/>
        <v>-50</v>
      </c>
      <c r="CC115">
        <f t="shared" si="220"/>
        <v>-50</v>
      </c>
    </row>
    <row r="116" spans="5:81" x14ac:dyDescent="0.2">
      <c r="E116" s="178">
        <v>6</v>
      </c>
      <c r="F116" s="225">
        <f t="shared" si="221"/>
        <v>1.7999999999999999E-2</v>
      </c>
      <c r="G116" s="225">
        <f t="shared" si="160"/>
        <v>1.7999999999999999E-2</v>
      </c>
      <c r="H116" s="225">
        <f t="shared" si="161"/>
        <v>0.26999999999999996</v>
      </c>
      <c r="I116" s="225">
        <f t="shared" si="162"/>
        <v>0.14399999999999999</v>
      </c>
      <c r="J116" s="561">
        <f t="shared" si="163"/>
        <v>7</v>
      </c>
      <c r="K116" s="456">
        <f t="shared" si="164"/>
        <v>15.25</v>
      </c>
      <c r="L116" s="456">
        <f t="shared" si="165"/>
        <v>22.25</v>
      </c>
      <c r="M116" s="456"/>
      <c r="N116" s="225">
        <f t="shared" si="166"/>
        <v>0.6853932584269663</v>
      </c>
      <c r="O116" s="180">
        <f t="shared" si="167"/>
        <v>2.0416524181729359</v>
      </c>
      <c r="P116" s="180">
        <f t="shared" si="168"/>
        <v>1.6696179775280899</v>
      </c>
      <c r="Q116" s="225">
        <f t="shared" si="169"/>
        <v>0.13611016121152905</v>
      </c>
      <c r="R116" s="225">
        <f t="shared" si="170"/>
        <v>0.25520655227161698</v>
      </c>
      <c r="S116" s="225">
        <f t="shared" si="171"/>
        <v>15</v>
      </c>
      <c r="T116" s="225">
        <f t="shared" si="172"/>
        <v>0.19175644028103042</v>
      </c>
      <c r="U116" s="225">
        <f t="shared" si="173"/>
        <v>1.0957510873201739</v>
      </c>
      <c r="V116" s="225">
        <f t="shared" si="174"/>
        <v>0.50296771221253889</v>
      </c>
      <c r="W116" s="205">
        <f t="shared" si="175"/>
        <v>350</v>
      </c>
      <c r="X116" s="456">
        <f t="shared" si="176"/>
        <v>350</v>
      </c>
      <c r="Z116" s="225">
        <f t="shared" si="177"/>
        <v>0.34269662921348309</v>
      </c>
      <c r="AA116" s="181">
        <f t="shared" si="178"/>
        <v>0.89887640449438189</v>
      </c>
      <c r="AB116" s="181">
        <f t="shared" si="179"/>
        <v>3.5156957564646527E-2</v>
      </c>
      <c r="AC116" s="181"/>
      <c r="AD116" s="181">
        <f t="shared" si="180"/>
        <v>0.76065573770491812</v>
      </c>
      <c r="AE116" s="565">
        <f t="shared" si="181"/>
        <v>163.19857312722945</v>
      </c>
      <c r="AF116" s="548">
        <f t="shared" si="182"/>
        <v>3.8603278688524589E-2</v>
      </c>
      <c r="AH116" s="181">
        <f t="shared" si="183"/>
        <v>0.24319304501333322</v>
      </c>
      <c r="AI116" s="181">
        <f t="shared" si="184"/>
        <v>0.28999999999999998</v>
      </c>
      <c r="AJ116" s="181">
        <f t="shared" si="185"/>
        <v>1.0932563275012739</v>
      </c>
      <c r="AL116" s="565">
        <f t="shared" si="186"/>
        <v>18</v>
      </c>
      <c r="AM116" s="474">
        <f t="shared" si="187"/>
        <v>163.19857312722945</v>
      </c>
      <c r="AO116" s="474">
        <f t="shared" si="188"/>
        <v>18</v>
      </c>
      <c r="AP116" s="474">
        <f t="shared" si="189"/>
        <v>163.19857312722945</v>
      </c>
      <c r="AR116" s="6">
        <f t="shared" si="140"/>
        <v>6.127504553734064</v>
      </c>
      <c r="AS116" s="6">
        <f t="shared" si="222"/>
        <v>1.6571428571428573</v>
      </c>
      <c r="AT116" s="6">
        <f t="shared" si="223"/>
        <v>4.4703616965912065</v>
      </c>
      <c r="AU116" s="181">
        <f t="shared" si="224"/>
        <v>0.2704433497536945</v>
      </c>
      <c r="AW116" s="6">
        <f t="shared" si="193"/>
        <v>0.19885714285714287</v>
      </c>
      <c r="AX116" s="6">
        <f t="shared" si="194"/>
        <v>0.37285714285714289</v>
      </c>
      <c r="AY116" s="6">
        <f t="shared" si="195"/>
        <v>0.31931154975651466</v>
      </c>
      <c r="AZ116" s="6"/>
      <c r="BA116" s="181">
        <f t="shared" si="196"/>
        <v>8.7071399273404168E-2</v>
      </c>
      <c r="BB116" s="181">
        <f t="shared" si="197"/>
        <v>0.14301015614950136</v>
      </c>
      <c r="BC116" s="181">
        <f t="shared" si="198"/>
        <v>0.14098779030496295</v>
      </c>
      <c r="BD116" s="181"/>
      <c r="BE116" s="548">
        <f t="shared" si="199"/>
        <v>2.6534999999999987E-3</v>
      </c>
      <c r="BF116" s="548">
        <f t="shared" si="200"/>
        <v>1.0530387931034479E-2</v>
      </c>
      <c r="BG116" s="548">
        <f t="shared" si="201"/>
        <v>2.0399821640903677E-3</v>
      </c>
      <c r="BH116" s="548">
        <f t="shared" si="202"/>
        <v>4.6456258825059438E-3</v>
      </c>
      <c r="BI116">
        <f t="shared" si="203"/>
        <v>2.0300000000000001E-3</v>
      </c>
      <c r="BJ116" s="474">
        <f t="shared" si="204"/>
        <v>21.899495977630789</v>
      </c>
      <c r="BK116" s="181">
        <f t="shared" si="205"/>
        <v>6.2999999999999992E-3</v>
      </c>
      <c r="BL116" s="181">
        <f t="shared" si="206"/>
        <v>6.2999999999999992E-3</v>
      </c>
      <c r="BM116" s="548"/>
      <c r="BO116" s="474">
        <f t="shared" si="207"/>
        <v>12.599999999999998</v>
      </c>
      <c r="BP116" s="548">
        <f t="shared" si="208"/>
        <v>0</v>
      </c>
      <c r="BQ116" s="548">
        <f t="shared" si="209"/>
        <v>0</v>
      </c>
      <c r="BR116" s="548">
        <f t="shared" si="210"/>
        <v>1.7889801313568585E-3</v>
      </c>
      <c r="BS116" s="548">
        <f t="shared" si="211"/>
        <v>7.7047028252592018E-4</v>
      </c>
      <c r="BT116" s="658">
        <f t="shared" si="212"/>
        <v>1.4411249999999999E-2</v>
      </c>
      <c r="BU116" s="474">
        <f t="shared" si="213"/>
        <v>16.970700413882778</v>
      </c>
      <c r="BV116" s="181">
        <f t="shared" si="214"/>
        <v>5.1470196391513567E-2</v>
      </c>
      <c r="BW116" s="6">
        <f t="shared" si="215"/>
        <v>0.41399999999999992</v>
      </c>
      <c r="BX116" s="181">
        <f t="shared" si="216"/>
        <v>0.88942321809102198</v>
      </c>
      <c r="BY116" s="6">
        <f t="shared" si="217"/>
        <v>88.942321809102197</v>
      </c>
      <c r="BZ116">
        <f t="shared" si="218"/>
        <v>6</v>
      </c>
      <c r="CB116" s="583">
        <f t="shared" si="219"/>
        <v>-50</v>
      </c>
      <c r="CC116">
        <f t="shared" si="220"/>
        <v>-50</v>
      </c>
    </row>
    <row r="117" spans="5:81" x14ac:dyDescent="0.2">
      <c r="E117" s="178">
        <v>7</v>
      </c>
      <c r="F117" s="225">
        <f t="shared" si="221"/>
        <v>2.1000000000000001E-2</v>
      </c>
      <c r="G117" s="225">
        <f t="shared" si="160"/>
        <v>2.1000000000000001E-2</v>
      </c>
      <c r="H117" s="225">
        <f t="shared" si="161"/>
        <v>0.315</v>
      </c>
      <c r="I117" s="225">
        <f t="shared" si="162"/>
        <v>0.16800000000000001</v>
      </c>
      <c r="J117" s="561">
        <f t="shared" si="163"/>
        <v>7</v>
      </c>
      <c r="K117" s="456">
        <f t="shared" si="164"/>
        <v>15.25</v>
      </c>
      <c r="L117" s="456">
        <f t="shared" si="165"/>
        <v>22.25</v>
      </c>
      <c r="M117" s="456"/>
      <c r="N117" s="225">
        <f t="shared" si="166"/>
        <v>0.6853932584269663</v>
      </c>
      <c r="O117" s="180">
        <f t="shared" si="167"/>
        <v>2.0416524181729359</v>
      </c>
      <c r="P117" s="180">
        <f t="shared" si="168"/>
        <v>1.6696179775280899</v>
      </c>
      <c r="Q117" s="225">
        <f t="shared" si="169"/>
        <v>0.13611016121152905</v>
      </c>
      <c r="R117" s="225">
        <f t="shared" si="170"/>
        <v>0.25520655227161698</v>
      </c>
      <c r="S117" s="225">
        <f t="shared" si="171"/>
        <v>15</v>
      </c>
      <c r="T117" s="225">
        <f t="shared" si="172"/>
        <v>0.22371584699453553</v>
      </c>
      <c r="U117" s="225">
        <f t="shared" si="173"/>
        <v>1.2783762685402034</v>
      </c>
      <c r="V117" s="225">
        <f t="shared" si="174"/>
        <v>0.58679566424796215</v>
      </c>
      <c r="W117" s="205">
        <f t="shared" si="175"/>
        <v>350</v>
      </c>
      <c r="X117" s="456">
        <f t="shared" si="176"/>
        <v>350</v>
      </c>
      <c r="Z117" s="225">
        <f t="shared" si="177"/>
        <v>0.34269662921348309</v>
      </c>
      <c r="AA117" s="181">
        <f t="shared" si="178"/>
        <v>0.89887640449438189</v>
      </c>
      <c r="AB117" s="181">
        <f t="shared" si="179"/>
        <v>3.5156957564646527E-2</v>
      </c>
      <c r="AC117" s="181"/>
      <c r="AD117" s="181">
        <f t="shared" si="180"/>
        <v>0.76065573770491812</v>
      </c>
      <c r="AE117" s="565">
        <f t="shared" si="181"/>
        <v>190.39833531510109</v>
      </c>
      <c r="AF117" s="548">
        <f t="shared" si="182"/>
        <v>3.8603278688524589E-2</v>
      </c>
      <c r="AH117" s="181">
        <f t="shared" si="183"/>
        <v>0.26267851073127391</v>
      </c>
      <c r="AI117" s="181">
        <f t="shared" si="184"/>
        <v>0.28999999999999998</v>
      </c>
      <c r="AJ117" s="181">
        <f t="shared" si="185"/>
        <v>1.1087990487514863</v>
      </c>
      <c r="AL117" s="565">
        <f t="shared" si="186"/>
        <v>21</v>
      </c>
      <c r="AM117" s="474">
        <f t="shared" si="187"/>
        <v>190.39833531510109</v>
      </c>
      <c r="AO117" s="474">
        <f t="shared" si="188"/>
        <v>21</v>
      </c>
      <c r="AP117" s="474">
        <f t="shared" si="189"/>
        <v>190.39833531510109</v>
      </c>
      <c r="AR117" s="6">
        <f t="shared" si="140"/>
        <v>5.2521467603434813</v>
      </c>
      <c r="AS117" s="6">
        <f t="shared" si="222"/>
        <v>1.6571428571428573</v>
      </c>
      <c r="AT117" s="6">
        <f t="shared" si="223"/>
        <v>3.5950039032006238</v>
      </c>
      <c r="AU117" s="181">
        <f t="shared" si="224"/>
        <v>0.31551724137931036</v>
      </c>
      <c r="AW117" s="6">
        <f t="shared" si="193"/>
        <v>0.23200000000000004</v>
      </c>
      <c r="AX117" s="6">
        <f t="shared" si="194"/>
        <v>0.43500000000000005</v>
      </c>
      <c r="AY117" s="6">
        <f t="shared" si="195"/>
        <v>0.29958365860005193</v>
      </c>
      <c r="AZ117" s="6"/>
      <c r="BA117" s="181">
        <f t="shared" si="196"/>
        <v>9.4047860156411839E-2</v>
      </c>
      <c r="BB117" s="181">
        <f t="shared" si="197"/>
        <v>0.13852195975127313</v>
      </c>
      <c r="BC117" s="181">
        <f t="shared" si="198"/>
        <v>0.13656306335075008</v>
      </c>
      <c r="BD117" s="181"/>
      <c r="BE117" s="548">
        <f t="shared" si="199"/>
        <v>3.0957499999999987E-3</v>
      </c>
      <c r="BF117" s="548">
        <f t="shared" si="200"/>
        <v>1.22854525862069E-2</v>
      </c>
      <c r="BG117" s="548">
        <f t="shared" si="201"/>
        <v>2.3799791914387637E-3</v>
      </c>
      <c r="BH117" s="548">
        <f t="shared" si="202"/>
        <v>5.4198968629236037E-3</v>
      </c>
      <c r="BI117">
        <f t="shared" si="203"/>
        <v>2.0300000000000001E-3</v>
      </c>
      <c r="BJ117" s="474">
        <f t="shared" si="204"/>
        <v>25.211078640569269</v>
      </c>
      <c r="BK117" s="181">
        <f t="shared" si="205"/>
        <v>7.3499999999999998E-3</v>
      </c>
      <c r="BL117" s="181">
        <f t="shared" si="206"/>
        <v>7.3499999999999998E-3</v>
      </c>
      <c r="BM117" s="548"/>
      <c r="BO117" s="474">
        <f t="shared" si="207"/>
        <v>14.7</v>
      </c>
      <c r="BP117" s="548">
        <f t="shared" si="208"/>
        <v>0</v>
      </c>
      <c r="BQ117" s="548">
        <f t="shared" si="209"/>
        <v>0</v>
      </c>
      <c r="BR117" s="548">
        <f t="shared" si="210"/>
        <v>1.6784523244566881E-3</v>
      </c>
      <c r="BS117" s="548">
        <f t="shared" si="211"/>
        <v>1.1327207765143372E-3</v>
      </c>
      <c r="BT117" s="658">
        <f t="shared" si="212"/>
        <v>1.6813125000000005E-2</v>
      </c>
      <c r="BU117" s="474">
        <f t="shared" si="213"/>
        <v>19.624298100971028</v>
      </c>
      <c r="BV117" s="181">
        <f t="shared" si="214"/>
        <v>5.9535376741540302E-2</v>
      </c>
      <c r="BW117" s="6">
        <f t="shared" si="215"/>
        <v>0.48299999999999998</v>
      </c>
      <c r="BX117" s="181">
        <f t="shared" si="216"/>
        <v>0.89026452597596695</v>
      </c>
      <c r="BY117" s="6">
        <f t="shared" si="217"/>
        <v>89.026452597596688</v>
      </c>
      <c r="BZ117">
        <f t="shared" si="218"/>
        <v>7.0000000000000009</v>
      </c>
      <c r="CB117" s="583">
        <f t="shared" si="219"/>
        <v>-50</v>
      </c>
      <c r="CC117">
        <f t="shared" si="220"/>
        <v>-50</v>
      </c>
    </row>
    <row r="118" spans="5:81" x14ac:dyDescent="0.2">
      <c r="E118" s="178">
        <v>8</v>
      </c>
      <c r="F118" s="225">
        <f t="shared" si="221"/>
        <v>2.4E-2</v>
      </c>
      <c r="G118" s="225">
        <f t="shared" si="160"/>
        <v>2.4E-2</v>
      </c>
      <c r="H118" s="225">
        <f t="shared" si="161"/>
        <v>0.36</v>
      </c>
      <c r="I118" s="225">
        <f t="shared" si="162"/>
        <v>0.192</v>
      </c>
      <c r="J118" s="561">
        <f t="shared" si="163"/>
        <v>7</v>
      </c>
      <c r="K118" s="456">
        <f t="shared" si="164"/>
        <v>15.25</v>
      </c>
      <c r="L118" s="456">
        <f t="shared" si="165"/>
        <v>22.25</v>
      </c>
      <c r="M118" s="456"/>
      <c r="N118" s="225">
        <f t="shared" si="166"/>
        <v>0.6853932584269663</v>
      </c>
      <c r="O118" s="180">
        <f t="shared" si="167"/>
        <v>2.0416524181729359</v>
      </c>
      <c r="P118" s="180">
        <f t="shared" si="168"/>
        <v>1.6696179775280899</v>
      </c>
      <c r="Q118" s="225">
        <f t="shared" si="169"/>
        <v>0.13611016121152905</v>
      </c>
      <c r="R118" s="225">
        <f t="shared" si="170"/>
        <v>0.25520655227161698</v>
      </c>
      <c r="S118" s="225">
        <f t="shared" si="171"/>
        <v>15</v>
      </c>
      <c r="T118" s="225">
        <f t="shared" si="172"/>
        <v>0.25567525370804062</v>
      </c>
      <c r="U118" s="225">
        <f t="shared" si="173"/>
        <v>1.4610014497602322</v>
      </c>
      <c r="V118" s="225">
        <f t="shared" si="174"/>
        <v>0.67062361628338529</v>
      </c>
      <c r="W118" s="205">
        <f t="shared" si="175"/>
        <v>350</v>
      </c>
      <c r="X118" s="456">
        <f t="shared" si="176"/>
        <v>350</v>
      </c>
      <c r="Z118" s="225">
        <f t="shared" si="177"/>
        <v>0.34269662921348309</v>
      </c>
      <c r="AA118" s="181">
        <f t="shared" si="178"/>
        <v>0.89887640449438189</v>
      </c>
      <c r="AB118" s="181">
        <f t="shared" si="179"/>
        <v>3.5156957564646527E-2</v>
      </c>
      <c r="AC118" s="181"/>
      <c r="AD118" s="181">
        <f t="shared" si="180"/>
        <v>0.76065573770491812</v>
      </c>
      <c r="AE118" s="565">
        <f t="shared" si="181"/>
        <v>217.59809750297265</v>
      </c>
      <c r="AF118" s="548">
        <f t="shared" si="182"/>
        <v>3.8603278688524589E-2</v>
      </c>
      <c r="AH118" s="181">
        <f t="shared" si="183"/>
        <v>0.28081514000698549</v>
      </c>
      <c r="AI118" s="181">
        <f t="shared" si="184"/>
        <v>0.28999999999999998</v>
      </c>
      <c r="AJ118" s="181">
        <f t="shared" si="185"/>
        <v>1.1243417700016987</v>
      </c>
      <c r="AL118" s="565">
        <f t="shared" si="186"/>
        <v>24</v>
      </c>
      <c r="AM118" s="474">
        <f t="shared" si="187"/>
        <v>217.59809750297265</v>
      </c>
      <c r="AO118" s="474">
        <f t="shared" si="188"/>
        <v>24</v>
      </c>
      <c r="AP118" s="474">
        <f t="shared" si="189"/>
        <v>217.59809750297265</v>
      </c>
      <c r="AR118" s="6">
        <f t="shared" si="140"/>
        <v>4.5956284153005464</v>
      </c>
      <c r="AS118" s="6">
        <f t="shared" si="222"/>
        <v>1.6571428571428573</v>
      </c>
      <c r="AT118" s="6">
        <f t="shared" si="223"/>
        <v>2.938485558157689</v>
      </c>
      <c r="AU118" s="181">
        <f t="shared" si="224"/>
        <v>0.36059113300492612</v>
      </c>
      <c r="AW118" s="6">
        <f t="shared" si="193"/>
        <v>0.26514285714285718</v>
      </c>
      <c r="AX118" s="6">
        <f t="shared" si="194"/>
        <v>0.49714285714285722</v>
      </c>
      <c r="AY118" s="6">
        <f t="shared" si="195"/>
        <v>0.27985576744358936</v>
      </c>
      <c r="AZ118" s="6"/>
      <c r="BA118" s="181">
        <f t="shared" si="196"/>
        <v>0.10054139161843458</v>
      </c>
      <c r="BB118" s="181">
        <f t="shared" si="197"/>
        <v>0.13388338920404541</v>
      </c>
      <c r="BC118" s="181">
        <f t="shared" si="198"/>
        <v>0.13199008875065488</v>
      </c>
      <c r="BD118" s="181"/>
      <c r="BE118" s="548">
        <f t="shared" si="199"/>
        <v>3.537999999999999E-3</v>
      </c>
      <c r="BF118" s="548">
        <f t="shared" si="200"/>
        <v>1.404051724137931E-2</v>
      </c>
      <c r="BG118" s="548">
        <f t="shared" si="201"/>
        <v>2.7199762187871579E-3</v>
      </c>
      <c r="BH118" s="548">
        <f t="shared" si="202"/>
        <v>6.1941678433412601E-3</v>
      </c>
      <c r="BI118">
        <f t="shared" si="203"/>
        <v>2.0300000000000001E-3</v>
      </c>
      <c r="BJ118" s="474">
        <f t="shared" si="204"/>
        <v>28.522661303507729</v>
      </c>
      <c r="BK118" s="181">
        <f t="shared" si="205"/>
        <v>8.3999999999999995E-3</v>
      </c>
      <c r="BL118" s="181">
        <f t="shared" si="206"/>
        <v>8.3999999999999995E-3</v>
      </c>
      <c r="BM118" s="548"/>
      <c r="BO118" s="474">
        <f t="shared" si="207"/>
        <v>16.8</v>
      </c>
      <c r="BP118" s="548">
        <f t="shared" si="208"/>
        <v>0</v>
      </c>
      <c r="BQ118" s="548">
        <f t="shared" si="209"/>
        <v>0</v>
      </c>
      <c r="BR118" s="548">
        <f t="shared" si="210"/>
        <v>1.5679245175565177E-3</v>
      </c>
      <c r="BS118" s="548">
        <f t="shared" si="211"/>
        <v>1.5816221334006993E-3</v>
      </c>
      <c r="BT118" s="658">
        <f t="shared" si="212"/>
        <v>1.9215000000000003E-2</v>
      </c>
      <c r="BU118" s="474">
        <f t="shared" si="213"/>
        <v>22.364546650957219</v>
      </c>
      <c r="BV118" s="181">
        <f t="shared" si="214"/>
        <v>6.7687207954464951E-2</v>
      </c>
      <c r="BW118" s="6">
        <f t="shared" si="215"/>
        <v>0.55200000000000005</v>
      </c>
      <c r="BX118" s="181">
        <f t="shared" si="216"/>
        <v>0.89077197804696551</v>
      </c>
      <c r="BY118" s="6">
        <f t="shared" si="217"/>
        <v>89.077197804696553</v>
      </c>
      <c r="BZ118">
        <f t="shared" si="218"/>
        <v>8</v>
      </c>
      <c r="CB118" s="583">
        <f t="shared" si="219"/>
        <v>-50</v>
      </c>
      <c r="CC118">
        <f t="shared" si="220"/>
        <v>-50</v>
      </c>
    </row>
    <row r="119" spans="5:81" x14ac:dyDescent="0.2">
      <c r="E119" s="178">
        <v>9</v>
      </c>
      <c r="F119" s="225">
        <f t="shared" si="221"/>
        <v>2.7E-2</v>
      </c>
      <c r="G119" s="225">
        <f t="shared" si="160"/>
        <v>2.7E-2</v>
      </c>
      <c r="H119" s="225">
        <f t="shared" si="161"/>
        <v>0.40499999999999997</v>
      </c>
      <c r="I119" s="225">
        <f t="shared" si="162"/>
        <v>0.216</v>
      </c>
      <c r="J119" s="561">
        <f t="shared" si="163"/>
        <v>7</v>
      </c>
      <c r="K119" s="456">
        <f t="shared" si="164"/>
        <v>15.25</v>
      </c>
      <c r="L119" s="456">
        <f t="shared" si="165"/>
        <v>22.25</v>
      </c>
      <c r="M119" s="456"/>
      <c r="N119" s="225">
        <f t="shared" si="166"/>
        <v>0.6853932584269663</v>
      </c>
      <c r="O119" s="180">
        <f t="shared" si="167"/>
        <v>2.0416524181729359</v>
      </c>
      <c r="P119" s="180">
        <f t="shared" si="168"/>
        <v>1.6696179775280899</v>
      </c>
      <c r="Q119" s="225">
        <f t="shared" si="169"/>
        <v>0.13611016121152905</v>
      </c>
      <c r="R119" s="225">
        <f t="shared" si="170"/>
        <v>0.25520655227161698</v>
      </c>
      <c r="S119" s="225">
        <f t="shared" si="171"/>
        <v>15</v>
      </c>
      <c r="T119" s="225">
        <f t="shared" si="172"/>
        <v>0.28763466042154567</v>
      </c>
      <c r="U119" s="225">
        <f t="shared" si="173"/>
        <v>1.643626630980261</v>
      </c>
      <c r="V119" s="225">
        <f t="shared" si="174"/>
        <v>0.75445156831880833</v>
      </c>
      <c r="W119" s="205">
        <f t="shared" si="175"/>
        <v>350</v>
      </c>
      <c r="X119" s="456">
        <f t="shared" si="176"/>
        <v>350</v>
      </c>
      <c r="Z119" s="225">
        <f t="shared" si="177"/>
        <v>0.34269662921348309</v>
      </c>
      <c r="AA119" s="181">
        <f t="shared" si="178"/>
        <v>0.89887640449438189</v>
      </c>
      <c r="AB119" s="181">
        <f t="shared" si="179"/>
        <v>3.5156957564646527E-2</v>
      </c>
      <c r="AC119" s="181"/>
      <c r="AD119" s="181">
        <f t="shared" si="180"/>
        <v>0.76065573770491812</v>
      </c>
      <c r="AE119" s="565">
        <f t="shared" si="181"/>
        <v>244.79785969084423</v>
      </c>
      <c r="AF119" s="548">
        <f t="shared" si="182"/>
        <v>3.8603278688524589E-2</v>
      </c>
      <c r="AH119" s="181">
        <f t="shared" si="183"/>
        <v>0.29784943463818375</v>
      </c>
      <c r="AI119" s="181">
        <f t="shared" si="184"/>
        <v>0.29784943463818375</v>
      </c>
      <c r="AJ119" s="181">
        <f t="shared" si="185"/>
        <v>1.139884491251911</v>
      </c>
      <c r="AL119" s="565">
        <f t="shared" si="186"/>
        <v>27</v>
      </c>
      <c r="AM119" s="474">
        <f t="shared" si="187"/>
        <v>244.79785969084423</v>
      </c>
      <c r="AO119" s="474">
        <f t="shared" si="188"/>
        <v>27</v>
      </c>
      <c r="AP119" s="474">
        <f t="shared" si="189"/>
        <v>244.79785969084423</v>
      </c>
      <c r="AR119" s="6">
        <f t="shared" si="140"/>
        <v>4.0850030358227079</v>
      </c>
      <c r="AS119" s="6">
        <f t="shared" si="222"/>
        <v>1.70199676936105</v>
      </c>
      <c r="AT119" s="6">
        <f t="shared" si="223"/>
        <v>2.383006266461658</v>
      </c>
      <c r="AU119" s="181">
        <f t="shared" si="224"/>
        <v>0.41664516634031651</v>
      </c>
      <c r="AW119" s="6">
        <f t="shared" si="193"/>
        <v>0.30635941848498899</v>
      </c>
      <c r="AX119" s="6">
        <f t="shared" si="194"/>
        <v>0.57442390965935441</v>
      </c>
      <c r="AY119" s="6">
        <f t="shared" si="195"/>
        <v>0.25532209997803468</v>
      </c>
      <c r="AZ119" s="6"/>
      <c r="BA119" s="181">
        <f t="shared" si="196"/>
        <v>0.11099906655492037</v>
      </c>
      <c r="BB119" s="181">
        <f t="shared" si="197"/>
        <v>0.13134167577492273</v>
      </c>
      <c r="BC119" s="181">
        <f t="shared" si="198"/>
        <v>0.12948431874376218</v>
      </c>
      <c r="BD119" s="181"/>
      <c r="BE119" s="548">
        <f t="shared" si="199"/>
        <v>4.312277471622274E-3</v>
      </c>
      <c r="BF119" s="548">
        <f t="shared" si="200"/>
        <v>1.6223121164376075E-2</v>
      </c>
      <c r="BG119" s="548">
        <f t="shared" si="201"/>
        <v>3.059973246135553E-3</v>
      </c>
      <c r="BH119" s="548">
        <f t="shared" si="202"/>
        <v>6.9684388237589174E-3</v>
      </c>
      <c r="BI119">
        <f t="shared" si="203"/>
        <v>2.0300000000000001E-3</v>
      </c>
      <c r="BJ119" s="474">
        <f t="shared" si="204"/>
        <v>32.593810705892814</v>
      </c>
      <c r="BK119" s="181">
        <f t="shared" si="205"/>
        <v>9.4500000000000001E-3</v>
      </c>
      <c r="BL119" s="181">
        <f t="shared" si="206"/>
        <v>9.4500000000000001E-3</v>
      </c>
      <c r="BM119" s="548"/>
      <c r="BO119" s="474">
        <f t="shared" si="207"/>
        <v>18.899999999999999</v>
      </c>
      <c r="BP119" s="548">
        <f t="shared" si="208"/>
        <v>0</v>
      </c>
      <c r="BQ119" s="548">
        <f t="shared" si="209"/>
        <v>0</v>
      </c>
      <c r="BR119" s="548">
        <f t="shared" si="210"/>
        <v>1.5089569920482581E-3</v>
      </c>
      <c r="BS119" s="548">
        <f t="shared" si="211"/>
        <v>2.2697655258958893E-3</v>
      </c>
      <c r="BT119" s="658">
        <f t="shared" si="212"/>
        <v>2.2802920630202138E-2</v>
      </c>
      <c r="BU119" s="474">
        <f t="shared" si="213"/>
        <v>26.581643148146284</v>
      </c>
      <c r="BV119" s="181">
        <f t="shared" si="214"/>
        <v>7.8075453854039106E-2</v>
      </c>
      <c r="BW119" s="6">
        <f t="shared" si="215"/>
        <v>0.621</v>
      </c>
      <c r="BX119" s="181">
        <f t="shared" si="216"/>
        <v>0.88831612750296818</v>
      </c>
      <c r="BY119" s="6">
        <f t="shared" si="217"/>
        <v>88.831612750296813</v>
      </c>
      <c r="BZ119">
        <f t="shared" si="218"/>
        <v>9</v>
      </c>
      <c r="CB119" s="583">
        <f t="shared" si="219"/>
        <v>-50</v>
      </c>
      <c r="CC119">
        <f t="shared" si="220"/>
        <v>-50</v>
      </c>
    </row>
    <row r="120" spans="5:81" x14ac:dyDescent="0.2">
      <c r="E120" s="178">
        <v>10</v>
      </c>
      <c r="F120" s="225">
        <f t="shared" si="221"/>
        <v>0.03</v>
      </c>
      <c r="G120" s="225">
        <f t="shared" si="160"/>
        <v>0.03</v>
      </c>
      <c r="H120" s="225">
        <f t="shared" si="161"/>
        <v>0.44999999999999996</v>
      </c>
      <c r="I120" s="225">
        <f t="shared" si="162"/>
        <v>0.24</v>
      </c>
      <c r="J120" s="561">
        <f t="shared" si="163"/>
        <v>7</v>
      </c>
      <c r="K120" s="456">
        <f t="shared" si="164"/>
        <v>15.25</v>
      </c>
      <c r="L120" s="456">
        <f t="shared" si="165"/>
        <v>22.25</v>
      </c>
      <c r="M120" s="456"/>
      <c r="N120" s="225">
        <f t="shared" si="166"/>
        <v>0.6853932584269663</v>
      </c>
      <c r="O120" s="180">
        <f t="shared" si="167"/>
        <v>2.0416524181729359</v>
      </c>
      <c r="P120" s="180">
        <f t="shared" si="168"/>
        <v>1.6696179775280899</v>
      </c>
      <c r="Q120" s="225">
        <f t="shared" si="169"/>
        <v>0.13611016121152905</v>
      </c>
      <c r="R120" s="225">
        <f t="shared" si="170"/>
        <v>0.25520655227161698</v>
      </c>
      <c r="S120" s="225">
        <f t="shared" si="171"/>
        <v>15</v>
      </c>
      <c r="T120" s="225">
        <f t="shared" si="172"/>
        <v>0.31959406713505073</v>
      </c>
      <c r="U120" s="225">
        <f t="shared" si="173"/>
        <v>1.8262518122002902</v>
      </c>
      <c r="V120" s="225">
        <f t="shared" si="174"/>
        <v>0.83827952035423148</v>
      </c>
      <c r="W120" s="205">
        <f t="shared" si="175"/>
        <v>350</v>
      </c>
      <c r="X120" s="456">
        <f t="shared" si="176"/>
        <v>350</v>
      </c>
      <c r="Z120" s="225">
        <f t="shared" si="177"/>
        <v>0.34269662921348309</v>
      </c>
      <c r="AA120" s="181">
        <f t="shared" si="178"/>
        <v>0.89887640449438189</v>
      </c>
      <c r="AB120" s="181">
        <f t="shared" si="179"/>
        <v>3.5156957564646527E-2</v>
      </c>
      <c r="AC120" s="181"/>
      <c r="AD120" s="181">
        <f t="shared" si="180"/>
        <v>0.76065573770491812</v>
      </c>
      <c r="AE120" s="565">
        <f t="shared" si="181"/>
        <v>271.99762187871579</v>
      </c>
      <c r="AF120" s="548">
        <f t="shared" si="182"/>
        <v>3.8603278688524589E-2</v>
      </c>
      <c r="AH120" s="181">
        <f t="shared" si="183"/>
        <v>0.31396087108337012</v>
      </c>
      <c r="AI120" s="181">
        <f t="shared" si="184"/>
        <v>0.31396087108337012</v>
      </c>
      <c r="AJ120" s="181">
        <f t="shared" si="185"/>
        <v>1.1554272125021234</v>
      </c>
      <c r="AL120" s="565">
        <f t="shared" si="186"/>
        <v>30</v>
      </c>
      <c r="AM120" s="474">
        <f t="shared" si="187"/>
        <v>271.99762187871579</v>
      </c>
      <c r="AO120" s="474">
        <f t="shared" si="188"/>
        <v>30</v>
      </c>
      <c r="AP120" s="474">
        <f t="shared" si="189"/>
        <v>271.99762187871579</v>
      </c>
      <c r="AR120" s="6">
        <f t="shared" si="140"/>
        <v>3.6765027322404373</v>
      </c>
      <c r="AS120" s="6">
        <f t="shared" si="222"/>
        <v>1.7940621204764009</v>
      </c>
      <c r="AT120" s="6">
        <f t="shared" si="223"/>
        <v>1.8824406117640364</v>
      </c>
      <c r="AU120" s="181">
        <f t="shared" si="224"/>
        <v>0.48798063027226718</v>
      </c>
      <c r="AW120" s="6">
        <f t="shared" si="193"/>
        <v>0.35881242409528019</v>
      </c>
      <c r="AX120" s="6">
        <f t="shared" si="194"/>
        <v>0.67277329517865025</v>
      </c>
      <c r="AY120" s="6">
        <f t="shared" si="195"/>
        <v>0.22410007282905192</v>
      </c>
      <c r="AZ120" s="6"/>
      <c r="BA120" s="181">
        <f t="shared" si="196"/>
        <v>0.12662404700677707</v>
      </c>
      <c r="BB120" s="181">
        <f t="shared" si="197"/>
        <v>0.1297054107459221</v>
      </c>
      <c r="BC120" s="181">
        <f t="shared" si="198"/>
        <v>0.12787119281618178</v>
      </c>
      <c r="BD120" s="181"/>
      <c r="BE120" s="548">
        <f t="shared" si="199"/>
        <v>5.6117772481310705E-3</v>
      </c>
      <c r="BF120" s="548">
        <f t="shared" si="200"/>
        <v>1.90007457912264E-2</v>
      </c>
      <c r="BG120" s="548">
        <f t="shared" si="201"/>
        <v>3.3999702734839473E-3</v>
      </c>
      <c r="BH120" s="548">
        <f t="shared" si="202"/>
        <v>7.7427098041765738E-3</v>
      </c>
      <c r="BI120">
        <f t="shared" si="203"/>
        <v>2.0300000000000001E-3</v>
      </c>
      <c r="BJ120" s="474">
        <f t="shared" si="204"/>
        <v>37.785203117017986</v>
      </c>
      <c r="BK120" s="181">
        <f t="shared" si="205"/>
        <v>1.0499999999999999E-2</v>
      </c>
      <c r="BL120" s="181">
        <f t="shared" si="206"/>
        <v>1.0499999999999999E-2</v>
      </c>
      <c r="BM120" s="548"/>
      <c r="BO120" s="474">
        <f t="shared" si="207"/>
        <v>20.999999999999996</v>
      </c>
      <c r="BP120" s="548">
        <f t="shared" si="208"/>
        <v>0</v>
      </c>
      <c r="BQ120" s="548">
        <f t="shared" si="209"/>
        <v>0</v>
      </c>
      <c r="BR120" s="548">
        <f t="shared" si="210"/>
        <v>1.4715937757009826E-3</v>
      </c>
      <c r="BS120" s="548">
        <f t="shared" si="211"/>
        <v>3.3695475167346096E-3</v>
      </c>
      <c r="BT120" s="658">
        <f t="shared" si="212"/>
        <v>2.8151753864447078E-2</v>
      </c>
      <c r="BU120" s="474">
        <f t="shared" si="213"/>
        <v>32.992895156882668</v>
      </c>
      <c r="BV120" s="181">
        <f t="shared" si="214"/>
        <v>9.1778098273900655E-2</v>
      </c>
      <c r="BW120" s="6">
        <f t="shared" si="215"/>
        <v>0.69</v>
      </c>
      <c r="BX120" s="181">
        <f t="shared" si="216"/>
        <v>0.88260339030149482</v>
      </c>
      <c r="BY120" s="6">
        <f t="shared" si="217"/>
        <v>88.260339030149481</v>
      </c>
      <c r="BZ120">
        <f t="shared" si="218"/>
        <v>10</v>
      </c>
      <c r="CB120" s="583">
        <f t="shared" si="219"/>
        <v>-50</v>
      </c>
      <c r="CC120">
        <f t="shared" si="220"/>
        <v>-50</v>
      </c>
    </row>
    <row r="121" spans="5:81" x14ac:dyDescent="0.2">
      <c r="E121" s="178">
        <v>11</v>
      </c>
      <c r="F121" s="225">
        <f t="shared" si="221"/>
        <v>3.3000000000000002E-2</v>
      </c>
      <c r="G121" s="225">
        <f t="shared" si="160"/>
        <v>3.3000000000000002E-2</v>
      </c>
      <c r="H121" s="225">
        <f t="shared" si="161"/>
        <v>0.495</v>
      </c>
      <c r="I121" s="225">
        <f t="shared" si="162"/>
        <v>0.26400000000000001</v>
      </c>
      <c r="J121" s="561">
        <f t="shared" si="163"/>
        <v>7</v>
      </c>
      <c r="K121" s="456">
        <f t="shared" si="164"/>
        <v>15.25</v>
      </c>
      <c r="L121" s="456">
        <f t="shared" si="165"/>
        <v>22.25</v>
      </c>
      <c r="M121" s="456"/>
      <c r="N121" s="225">
        <f t="shared" si="166"/>
        <v>0.6853932584269663</v>
      </c>
      <c r="O121" s="180">
        <f t="shared" si="167"/>
        <v>2.0416524181729359</v>
      </c>
      <c r="P121" s="180">
        <f t="shared" si="168"/>
        <v>1.6696179775280899</v>
      </c>
      <c r="Q121" s="225">
        <f t="shared" si="169"/>
        <v>0.13611016121152905</v>
      </c>
      <c r="R121" s="225">
        <f t="shared" si="170"/>
        <v>0.25520655227161698</v>
      </c>
      <c r="S121" s="225">
        <f t="shared" si="171"/>
        <v>15</v>
      </c>
      <c r="T121" s="225">
        <f t="shared" si="172"/>
        <v>0.35155347384855584</v>
      </c>
      <c r="U121" s="225">
        <f t="shared" si="173"/>
        <v>2.0088769934203192</v>
      </c>
      <c r="V121" s="225">
        <f t="shared" si="174"/>
        <v>0.92210747238965474</v>
      </c>
      <c r="W121" s="205">
        <f t="shared" si="175"/>
        <v>350</v>
      </c>
      <c r="X121" s="456">
        <f t="shared" si="176"/>
        <v>341.18229272963788</v>
      </c>
      <c r="Z121" s="225">
        <f t="shared" si="177"/>
        <v>0.34269662921348309</v>
      </c>
      <c r="AA121" s="181">
        <f t="shared" si="178"/>
        <v>0.89887640449438189</v>
      </c>
      <c r="AB121" s="181">
        <f t="shared" si="179"/>
        <v>3.5156957564646527E-2</v>
      </c>
      <c r="AC121" s="181"/>
      <c r="AD121" s="181">
        <f t="shared" si="180"/>
        <v>0.76065573770491812</v>
      </c>
      <c r="AE121" s="565">
        <f t="shared" si="181"/>
        <v>299.1973840665874</v>
      </c>
      <c r="AF121" s="548">
        <f t="shared" si="182"/>
        <v>3.8603278688524589E-2</v>
      </c>
      <c r="AH121" s="181">
        <f t="shared" si="183"/>
        <v>0.32928493957144689</v>
      </c>
      <c r="AI121" s="181">
        <f t="shared" si="184"/>
        <v>0.32928493957144689</v>
      </c>
      <c r="AJ121" s="181">
        <f t="shared" si="185"/>
        <v>1.1709699337523356</v>
      </c>
      <c r="AL121" s="565">
        <f t="shared" si="186"/>
        <v>33</v>
      </c>
      <c r="AM121" s="474">
        <f t="shared" si="187"/>
        <v>299.1973840665874</v>
      </c>
      <c r="AO121" s="474">
        <f t="shared" si="188"/>
        <v>33</v>
      </c>
      <c r="AP121" s="474">
        <f t="shared" si="189"/>
        <v>299.1973840665874</v>
      </c>
      <c r="AR121" s="6">
        <f t="shared" si="140"/>
        <v>3.3422752111276699</v>
      </c>
      <c r="AS121" s="6">
        <f t="shared" si="222"/>
        <v>1.8816282261225539</v>
      </c>
      <c r="AT121" s="6">
        <f t="shared" si="223"/>
        <v>1.460646985005116</v>
      </c>
      <c r="AU121" s="181">
        <f t="shared" si="224"/>
        <v>0.56297824304172139</v>
      </c>
      <c r="AW121" s="6">
        <f t="shared" si="193"/>
        <v>0.4139582097469619</v>
      </c>
      <c r="AX121" s="6">
        <f t="shared" si="194"/>
        <v>0.77617164327555355</v>
      </c>
      <c r="AY121" s="6">
        <f t="shared" si="195"/>
        <v>0.19127520041733656</v>
      </c>
      <c r="AZ121" s="6"/>
      <c r="BA121" s="181">
        <f t="shared" si="196"/>
        <v>0.14264516189760396</v>
      </c>
      <c r="BB121" s="181">
        <f t="shared" si="197"/>
        <v>0.125679015472208</v>
      </c>
      <c r="BC121" s="181">
        <f t="shared" si="198"/>
        <v>0.12390173646553031</v>
      </c>
      <c r="BD121" s="181"/>
      <c r="BE121" s="548">
        <f t="shared" si="199"/>
        <v>7.1216747744777742E-3</v>
      </c>
      <c r="BF121" s="548">
        <f t="shared" si="200"/>
        <v>2.1920965338437022E-2</v>
      </c>
      <c r="BG121" s="548">
        <f t="shared" si="201"/>
        <v>3.739967300832342E-3</v>
      </c>
      <c r="BH121" s="548">
        <f t="shared" si="202"/>
        <v>8.516980784594232E-3</v>
      </c>
      <c r="BI121">
        <f t="shared" si="203"/>
        <v>2.0300000000000001E-3</v>
      </c>
      <c r="BJ121" s="474">
        <f t="shared" si="204"/>
        <v>43.329588198341369</v>
      </c>
      <c r="BK121" s="181">
        <f t="shared" si="205"/>
        <v>1.155E-2</v>
      </c>
      <c r="BL121" s="181">
        <f t="shared" si="206"/>
        <v>1.155E-2</v>
      </c>
      <c r="BM121" s="548"/>
      <c r="BO121" s="474">
        <f t="shared" si="207"/>
        <v>23.099999999999998</v>
      </c>
      <c r="BP121" s="548">
        <f t="shared" si="208"/>
        <v>0</v>
      </c>
      <c r="BQ121" s="548">
        <f t="shared" si="209"/>
        <v>0</v>
      </c>
      <c r="BR121" s="548">
        <f t="shared" si="210"/>
        <v>1.3816476269256348E-3</v>
      </c>
      <c r="BS121" s="548">
        <f t="shared" si="211"/>
        <v>4.8171941961458881E-3</v>
      </c>
      <c r="BT121" s="658">
        <f t="shared" si="212"/>
        <v>3.4063622175980982E-2</v>
      </c>
      <c r="BU121" s="474">
        <f t="shared" si="213"/>
        <v>40.262463999052507</v>
      </c>
      <c r="BV121" s="181">
        <f t="shared" si="214"/>
        <v>0.10669205219739387</v>
      </c>
      <c r="BW121" s="6">
        <f t="shared" si="215"/>
        <v>0.75900000000000001</v>
      </c>
      <c r="BX121" s="181">
        <f t="shared" si="216"/>
        <v>0.8767551903398253</v>
      </c>
      <c r="BY121" s="6">
        <f t="shared" si="217"/>
        <v>87.675519033982525</v>
      </c>
      <c r="BZ121">
        <f t="shared" si="218"/>
        <v>11.000000000000002</v>
      </c>
      <c r="CB121" s="583">
        <f t="shared" si="219"/>
        <v>-50</v>
      </c>
      <c r="CC121">
        <f t="shared" si="220"/>
        <v>-50</v>
      </c>
    </row>
    <row r="122" spans="5:81" x14ac:dyDescent="0.2">
      <c r="E122" s="178">
        <v>12</v>
      </c>
      <c r="F122" s="225">
        <f t="shared" si="221"/>
        <v>3.5999999999999997E-2</v>
      </c>
      <c r="G122" s="225">
        <f t="shared" si="160"/>
        <v>3.5999999999999997E-2</v>
      </c>
      <c r="H122" s="225">
        <f t="shared" si="161"/>
        <v>0.53999999999999992</v>
      </c>
      <c r="I122" s="225">
        <f t="shared" si="162"/>
        <v>0.28799999999999998</v>
      </c>
      <c r="J122" s="561">
        <f t="shared" si="163"/>
        <v>7</v>
      </c>
      <c r="K122" s="456">
        <f t="shared" si="164"/>
        <v>15.25</v>
      </c>
      <c r="L122" s="456">
        <f t="shared" si="165"/>
        <v>22.25</v>
      </c>
      <c r="M122" s="456"/>
      <c r="N122" s="225">
        <f t="shared" si="166"/>
        <v>0.6853932584269663</v>
      </c>
      <c r="O122" s="180">
        <f t="shared" si="167"/>
        <v>2.0416524181729359</v>
      </c>
      <c r="P122" s="180">
        <f t="shared" si="168"/>
        <v>1.6696179775280899</v>
      </c>
      <c r="Q122" s="225">
        <f t="shared" si="169"/>
        <v>0.13611016121152905</v>
      </c>
      <c r="R122" s="225">
        <f t="shared" si="170"/>
        <v>0.25520655227161698</v>
      </c>
      <c r="S122" s="225">
        <f t="shared" si="171"/>
        <v>15</v>
      </c>
      <c r="T122" s="225">
        <f t="shared" si="172"/>
        <v>0.38351288056206084</v>
      </c>
      <c r="U122" s="225">
        <f t="shared" si="173"/>
        <v>2.1915021746403478</v>
      </c>
      <c r="V122" s="225">
        <f t="shared" si="174"/>
        <v>1.0059354244250778</v>
      </c>
      <c r="W122" s="205">
        <f t="shared" si="175"/>
        <v>350</v>
      </c>
      <c r="X122" s="456">
        <f t="shared" si="176"/>
        <v>312.75043500216816</v>
      </c>
      <c r="Z122" s="225">
        <f t="shared" si="177"/>
        <v>0.34269662921348309</v>
      </c>
      <c r="AA122" s="181">
        <f t="shared" si="178"/>
        <v>0.89887640449438189</v>
      </c>
      <c r="AB122" s="181">
        <f t="shared" si="179"/>
        <v>3.5156957564646527E-2</v>
      </c>
      <c r="AC122" s="181"/>
      <c r="AD122" s="181">
        <f t="shared" si="180"/>
        <v>0.76065573770491812</v>
      </c>
      <c r="AE122" s="565">
        <f t="shared" si="181"/>
        <v>326.3971462544589</v>
      </c>
      <c r="AF122" s="548">
        <f t="shared" si="182"/>
        <v>3.8603278688524589E-2</v>
      </c>
      <c r="AH122" s="181">
        <f t="shared" si="183"/>
        <v>0.34392690253266645</v>
      </c>
      <c r="AI122" s="181">
        <f t="shared" si="184"/>
        <v>0.38351288056206084</v>
      </c>
      <c r="AJ122" s="181">
        <f t="shared" si="185"/>
        <v>1.186512655002548</v>
      </c>
      <c r="AL122" s="565">
        <f t="shared" si="186"/>
        <v>36</v>
      </c>
      <c r="AM122" s="474">
        <f t="shared" si="187"/>
        <v>326.3971462544589</v>
      </c>
      <c r="AO122" s="474">
        <f t="shared" si="188"/>
        <v>36</v>
      </c>
      <c r="AP122" s="474">
        <f t="shared" si="189"/>
        <v>326.3971462544589</v>
      </c>
      <c r="AR122" s="6">
        <f t="shared" si="140"/>
        <v>3.063752276867032</v>
      </c>
      <c r="AS122" s="6">
        <f t="shared" si="222"/>
        <v>2.1915021746403478</v>
      </c>
      <c r="AT122" s="6">
        <f t="shared" si="223"/>
        <v>0.8722501022266842</v>
      </c>
      <c r="AU122" s="181">
        <f t="shared" si="224"/>
        <v>0.71530005581305023</v>
      </c>
      <c r="AW122" s="6">
        <f t="shared" si="193"/>
        <v>0.52596052191368337</v>
      </c>
      <c r="AX122" s="6">
        <f t="shared" si="194"/>
        <v>0.98617597858815642</v>
      </c>
      <c r="AY122" s="6">
        <f t="shared" si="195"/>
        <v>0.12460715746095484</v>
      </c>
      <c r="AZ122" s="6"/>
      <c r="BA122" s="181">
        <f t="shared" si="196"/>
        <v>0.18726795016876327</v>
      </c>
      <c r="BB122" s="181">
        <f t="shared" si="197"/>
        <v>0.11814436659694265</v>
      </c>
      <c r="BC122" s="181">
        <f t="shared" si="198"/>
        <v>0.11647363818042022</v>
      </c>
      <c r="BD122" s="181"/>
      <c r="BE122" s="548">
        <f t="shared" si="199"/>
        <v>1.2274249806143641E-2</v>
      </c>
      <c r="BF122" s="548">
        <f t="shared" si="200"/>
        <v>2.7851995923220647E-2</v>
      </c>
      <c r="BG122" s="548">
        <f t="shared" si="201"/>
        <v>4.0799643281807354E-3</v>
      </c>
      <c r="BH122" s="548">
        <f t="shared" si="202"/>
        <v>9.2912517650118875E-3</v>
      </c>
      <c r="BI122">
        <f t="shared" si="203"/>
        <v>2.0300000000000001E-3</v>
      </c>
      <c r="BJ122" s="474">
        <f t="shared" si="204"/>
        <v>55.527461822556909</v>
      </c>
      <c r="BK122" s="181">
        <f t="shared" si="205"/>
        <v>1.2599999999999998E-2</v>
      </c>
      <c r="BL122" s="181">
        <f t="shared" si="206"/>
        <v>1.2599999999999998E-2</v>
      </c>
      <c r="BM122" s="548"/>
      <c r="BO122" s="474">
        <f t="shared" si="207"/>
        <v>25.199999999999996</v>
      </c>
      <c r="BP122" s="548">
        <f t="shared" si="208"/>
        <v>0</v>
      </c>
      <c r="BQ122" s="548">
        <f t="shared" si="209"/>
        <v>0</v>
      </c>
      <c r="BR122" s="548">
        <f t="shared" si="210"/>
        <v>1.2209497551885099E-3</v>
      </c>
      <c r="BS122" s="548">
        <f t="shared" si="211"/>
        <v>8.7656832522317041E-3</v>
      </c>
      <c r="BT122" s="658">
        <f t="shared" si="212"/>
        <v>5.0407546720058351E-2</v>
      </c>
      <c r="BU122" s="474">
        <f t="shared" si="213"/>
        <v>60.394179727478566</v>
      </c>
      <c r="BV122" s="181">
        <f t="shared" si="214"/>
        <v>0.14112164155003548</v>
      </c>
      <c r="BW122" s="6">
        <f t="shared" si="215"/>
        <v>0.82799999999999985</v>
      </c>
      <c r="BX122" s="181">
        <f t="shared" si="216"/>
        <v>0.85438191089787008</v>
      </c>
      <c r="BY122" s="6">
        <f t="shared" si="217"/>
        <v>85.438191089787011</v>
      </c>
      <c r="BZ122">
        <f t="shared" si="218"/>
        <v>12</v>
      </c>
      <c r="CB122" s="583">
        <f t="shared" si="219"/>
        <v>-50</v>
      </c>
      <c r="CC122">
        <f t="shared" si="220"/>
        <v>-50</v>
      </c>
    </row>
    <row r="123" spans="5:81" x14ac:dyDescent="0.2">
      <c r="E123" s="178">
        <v>13</v>
      </c>
      <c r="F123" s="225">
        <f t="shared" si="221"/>
        <v>3.9E-2</v>
      </c>
      <c r="G123" s="225">
        <f t="shared" si="160"/>
        <v>3.9E-2</v>
      </c>
      <c r="H123" s="225">
        <f t="shared" si="161"/>
        <v>0.58499999999999996</v>
      </c>
      <c r="I123" s="225">
        <f t="shared" si="162"/>
        <v>0.312</v>
      </c>
      <c r="J123" s="561">
        <f t="shared" si="163"/>
        <v>7</v>
      </c>
      <c r="K123" s="456">
        <f t="shared" si="164"/>
        <v>15.25</v>
      </c>
      <c r="L123" s="456">
        <f t="shared" si="165"/>
        <v>22.25</v>
      </c>
      <c r="M123" s="456"/>
      <c r="N123" s="225">
        <f t="shared" si="166"/>
        <v>0.6853932584269663</v>
      </c>
      <c r="O123" s="180">
        <f t="shared" si="167"/>
        <v>2.0416524181729359</v>
      </c>
      <c r="P123" s="180">
        <f t="shared" si="168"/>
        <v>1.6696179775280899</v>
      </c>
      <c r="Q123" s="225">
        <f t="shared" si="169"/>
        <v>0.13611016121152905</v>
      </c>
      <c r="R123" s="225">
        <f t="shared" si="170"/>
        <v>0.25520655227161698</v>
      </c>
      <c r="S123" s="225">
        <f t="shared" si="171"/>
        <v>15</v>
      </c>
      <c r="T123" s="225">
        <f t="shared" si="172"/>
        <v>0.41547228727556601</v>
      </c>
      <c r="U123" s="225">
        <f t="shared" si="173"/>
        <v>2.3741273558603773</v>
      </c>
      <c r="V123" s="225">
        <f t="shared" si="174"/>
        <v>1.0897633764605013</v>
      </c>
      <c r="W123" s="205">
        <f t="shared" si="175"/>
        <v>350</v>
      </c>
      <c r="X123" s="456">
        <f t="shared" si="176"/>
        <v>288.69270923277054</v>
      </c>
      <c r="Z123" s="225">
        <f t="shared" si="177"/>
        <v>0.34269662921348309</v>
      </c>
      <c r="AA123" s="181">
        <f t="shared" si="178"/>
        <v>0.89887640449438189</v>
      </c>
      <c r="AB123" s="181">
        <f t="shared" si="179"/>
        <v>3.5156957564646527E-2</v>
      </c>
      <c r="AC123" s="181"/>
      <c r="AD123" s="181">
        <f t="shared" si="180"/>
        <v>0.76065573770491812</v>
      </c>
      <c r="AE123" s="565">
        <f t="shared" si="181"/>
        <v>353.59690844233057</v>
      </c>
      <c r="AF123" s="548">
        <f t="shared" si="182"/>
        <v>3.8603278688524589E-2</v>
      </c>
      <c r="AH123" s="181">
        <f t="shared" si="183"/>
        <v>0.35797046965197721</v>
      </c>
      <c r="AI123" s="181">
        <f t="shared" si="184"/>
        <v>0.41547228727556601</v>
      </c>
      <c r="AJ123" s="181">
        <f t="shared" si="185"/>
        <v>1.2929424350189378</v>
      </c>
      <c r="AL123" s="565">
        <f t="shared" si="186"/>
        <v>39</v>
      </c>
      <c r="AM123" s="474">
        <f t="shared" si="187"/>
        <v>288.69270923277054</v>
      </c>
      <c r="AO123" s="474">
        <f t="shared" si="188"/>
        <v>39</v>
      </c>
      <c r="AP123" s="474">
        <f t="shared" si="189"/>
        <v>288.69270923277054</v>
      </c>
      <c r="AR123" s="6">
        <f t="shared" si="140"/>
        <v>3.4638907323208787</v>
      </c>
      <c r="AS123" s="6">
        <f t="shared" si="222"/>
        <v>2.3741273558603773</v>
      </c>
      <c r="AT123" s="6">
        <f t="shared" si="223"/>
        <v>1.0897633764605015</v>
      </c>
      <c r="AU123" s="181">
        <f t="shared" si="224"/>
        <v>0.68539325842696619</v>
      </c>
      <c r="AW123" s="6">
        <f t="shared" si="193"/>
        <v>0.61727311252369799</v>
      </c>
      <c r="AX123" s="6">
        <f t="shared" si="194"/>
        <v>1.157387085981934</v>
      </c>
      <c r="AY123" s="6">
        <f t="shared" si="195"/>
        <v>0.16865385588079185</v>
      </c>
      <c r="AZ123" s="6"/>
      <c r="BA123" s="181">
        <f t="shared" si="196"/>
        <v>0.19858724354833357</v>
      </c>
      <c r="BB123" s="181">
        <f t="shared" si="197"/>
        <v>0.13454434410708241</v>
      </c>
      <c r="BC123" s="181">
        <f t="shared" si="198"/>
        <v>0.1326416968166792</v>
      </c>
      <c r="BD123" s="181"/>
      <c r="BE123" s="548">
        <f t="shared" si="199"/>
        <v>1.3802912655043803E-2</v>
      </c>
      <c r="BF123" s="548">
        <f t="shared" si="200"/>
        <v>2.6687499999999996E-2</v>
      </c>
      <c r="BG123" s="548">
        <f t="shared" si="201"/>
        <v>3.6086588654096314E-3</v>
      </c>
      <c r="BH123" s="548">
        <f t="shared" si="202"/>
        <v>8.2179537259615357E-3</v>
      </c>
      <c r="BI123">
        <f t="shared" si="203"/>
        <v>2.0300000000000001E-3</v>
      </c>
      <c r="BJ123" s="474">
        <f t="shared" si="204"/>
        <v>54.347025246414965</v>
      </c>
      <c r="BK123" s="181">
        <f t="shared" si="205"/>
        <v>1.3649999999999999E-2</v>
      </c>
      <c r="BL123" s="181">
        <f t="shared" si="206"/>
        <v>1.3649999999999999E-2</v>
      </c>
      <c r="BM123" s="548"/>
      <c r="BO123" s="474">
        <f t="shared" si="207"/>
        <v>27.299999999999997</v>
      </c>
      <c r="BP123" s="548">
        <f t="shared" si="208"/>
        <v>0</v>
      </c>
      <c r="BQ123" s="548">
        <f t="shared" si="209"/>
        <v>0</v>
      </c>
      <c r="BR123" s="548">
        <f t="shared" si="210"/>
        <v>1.5834437760967059E-3</v>
      </c>
      <c r="BS123" s="548">
        <f t="shared" si="211"/>
        <v>7.8779767900822775E-3</v>
      </c>
      <c r="BT123" s="658">
        <f t="shared" si="212"/>
        <v>5.2325000000000003E-2</v>
      </c>
      <c r="BU123" s="474">
        <f t="shared" si="213"/>
        <v>61.78642056617899</v>
      </c>
      <c r="BV123" s="181">
        <f t="shared" si="214"/>
        <v>0.14343344581259393</v>
      </c>
      <c r="BW123" s="6">
        <f t="shared" si="215"/>
        <v>0.89700000000000002</v>
      </c>
      <c r="BX123" s="181">
        <f t="shared" si="216"/>
        <v>0.8621406814728354</v>
      </c>
      <c r="BY123" s="6">
        <f t="shared" si="217"/>
        <v>86.214068147283541</v>
      </c>
      <c r="BZ123">
        <f t="shared" si="218"/>
        <v>13</v>
      </c>
      <c r="CB123" s="583">
        <f t="shared" si="219"/>
        <v>-50</v>
      </c>
      <c r="CC123">
        <f t="shared" si="220"/>
        <v>-50</v>
      </c>
    </row>
    <row r="124" spans="5:81" x14ac:dyDescent="0.2">
      <c r="E124" s="178">
        <v>14</v>
      </c>
      <c r="F124" s="225">
        <f t="shared" si="221"/>
        <v>4.2000000000000003E-2</v>
      </c>
      <c r="G124" s="225">
        <f t="shared" si="160"/>
        <v>4.2000000000000003E-2</v>
      </c>
      <c r="H124" s="225">
        <f t="shared" si="161"/>
        <v>0.63</v>
      </c>
      <c r="I124" s="225">
        <f t="shared" si="162"/>
        <v>0.33600000000000002</v>
      </c>
      <c r="J124" s="561">
        <f t="shared" si="163"/>
        <v>7</v>
      </c>
      <c r="K124" s="456">
        <f t="shared" si="164"/>
        <v>15.25</v>
      </c>
      <c r="L124" s="456">
        <f t="shared" si="165"/>
        <v>22.25</v>
      </c>
      <c r="M124" s="456"/>
      <c r="N124" s="225">
        <f t="shared" si="166"/>
        <v>0.6853932584269663</v>
      </c>
      <c r="O124" s="180">
        <f t="shared" si="167"/>
        <v>2.0416524181729359</v>
      </c>
      <c r="P124" s="180">
        <f t="shared" si="168"/>
        <v>1.6696179775280899</v>
      </c>
      <c r="Q124" s="225">
        <f t="shared" si="169"/>
        <v>0.13611016121152905</v>
      </c>
      <c r="R124" s="225">
        <f t="shared" si="170"/>
        <v>0.25520655227161698</v>
      </c>
      <c r="S124" s="225">
        <f t="shared" si="171"/>
        <v>15</v>
      </c>
      <c r="T124" s="225">
        <f t="shared" si="172"/>
        <v>0.44743169398907107</v>
      </c>
      <c r="U124" s="225">
        <f t="shared" si="173"/>
        <v>2.5567525370804067</v>
      </c>
      <c r="V124" s="225">
        <f t="shared" si="174"/>
        <v>1.1735913284959243</v>
      </c>
      <c r="W124" s="205">
        <f t="shared" si="175"/>
        <v>350</v>
      </c>
      <c r="X124" s="456">
        <f t="shared" si="176"/>
        <v>268.07180143042973</v>
      </c>
      <c r="Z124" s="225">
        <f t="shared" si="177"/>
        <v>0.34269662921348309</v>
      </c>
      <c r="AA124" s="181">
        <f t="shared" si="178"/>
        <v>0.89887640449438189</v>
      </c>
      <c r="AB124" s="181">
        <f t="shared" si="179"/>
        <v>3.5156957564646527E-2</v>
      </c>
      <c r="AC124" s="181"/>
      <c r="AD124" s="181">
        <f t="shared" si="180"/>
        <v>0.76065573770491812</v>
      </c>
      <c r="AE124" s="565">
        <f t="shared" si="181"/>
        <v>380.79667063020219</v>
      </c>
      <c r="AF124" s="548">
        <f t="shared" si="182"/>
        <v>3.8603278688524589E-2</v>
      </c>
      <c r="AH124" s="181">
        <f t="shared" si="183"/>
        <v>0.37148351242013417</v>
      </c>
      <c r="AI124" s="181">
        <f t="shared" si="184"/>
        <v>0.44743169398907107</v>
      </c>
      <c r="AJ124" s="181">
        <f t="shared" si="185"/>
        <v>1.3166160696215341</v>
      </c>
      <c r="AL124" s="565">
        <f t="shared" si="186"/>
        <v>42</v>
      </c>
      <c r="AM124" s="474">
        <f t="shared" si="187"/>
        <v>268.07180143042973</v>
      </c>
      <c r="AO124" s="474">
        <f t="shared" si="188"/>
        <v>42</v>
      </c>
      <c r="AP124" s="474">
        <f t="shared" si="189"/>
        <v>268.07180143042973</v>
      </c>
      <c r="AR124" s="6">
        <f t="shared" si="140"/>
        <v>3.7303438655763315</v>
      </c>
      <c r="AS124" s="6">
        <f t="shared" si="222"/>
        <v>2.5567525370804067</v>
      </c>
      <c r="AT124" s="6">
        <f t="shared" si="223"/>
        <v>1.1735913284959247</v>
      </c>
      <c r="AU124" s="181">
        <f t="shared" si="224"/>
        <v>0.68539325842696619</v>
      </c>
      <c r="AW124" s="6">
        <f t="shared" si="193"/>
        <v>0.71589071038251395</v>
      </c>
      <c r="AX124" s="6">
        <f t="shared" si="194"/>
        <v>1.3422950819672137</v>
      </c>
      <c r="AY124" s="6">
        <f t="shared" si="195"/>
        <v>0.19559855474932072</v>
      </c>
      <c r="AZ124" s="6"/>
      <c r="BA124" s="181">
        <f t="shared" si="196"/>
        <v>0.21386318535974386</v>
      </c>
      <c r="BB124" s="181">
        <f t="shared" si="197"/>
        <v>0.14489390903839641</v>
      </c>
      <c r="BC124" s="181">
        <f t="shared" si="198"/>
        <v>0.14284490426411606</v>
      </c>
      <c r="BD124" s="181"/>
      <c r="BE124" s="548">
        <f t="shared" si="199"/>
        <v>1.6008111718275656E-2</v>
      </c>
      <c r="BF124" s="548">
        <f t="shared" si="200"/>
        <v>2.6687499999999992E-2</v>
      </c>
      <c r="BG124" s="548">
        <f t="shared" si="201"/>
        <v>3.3508975178803716E-3</v>
      </c>
      <c r="BH124" s="548">
        <f t="shared" si="202"/>
        <v>7.6309570312499955E-3</v>
      </c>
      <c r="BI124">
        <f t="shared" si="203"/>
        <v>2.0300000000000001E-3</v>
      </c>
      <c r="BJ124" s="474">
        <f t="shared" si="204"/>
        <v>55.707466267406012</v>
      </c>
      <c r="BK124" s="181">
        <f t="shared" si="205"/>
        <v>1.47E-2</v>
      </c>
      <c r="BL124" s="181">
        <f t="shared" si="206"/>
        <v>1.47E-2</v>
      </c>
      <c r="BM124" s="548"/>
      <c r="BO124" s="474">
        <f t="shared" si="207"/>
        <v>29.4</v>
      </c>
      <c r="BP124" s="548">
        <f t="shared" si="208"/>
        <v>0</v>
      </c>
      <c r="BQ124" s="548">
        <f t="shared" si="209"/>
        <v>0</v>
      </c>
      <c r="BR124" s="548">
        <f t="shared" si="210"/>
        <v>1.8364200006802031E-3</v>
      </c>
      <c r="BS124" s="548">
        <f t="shared" si="211"/>
        <v>7.8779767900822792E-3</v>
      </c>
      <c r="BT124" s="658">
        <f t="shared" si="212"/>
        <v>5.634999999999999E-2</v>
      </c>
      <c r="BU124" s="474">
        <f t="shared" si="213"/>
        <v>66.064396790762473</v>
      </c>
      <c r="BV124" s="181">
        <f t="shared" si="214"/>
        <v>0.15117186305816849</v>
      </c>
      <c r="BW124" s="6">
        <f t="shared" si="215"/>
        <v>0.96599999999999997</v>
      </c>
      <c r="BX124" s="181">
        <f t="shared" si="216"/>
        <v>0.86468343138866066</v>
      </c>
      <c r="BY124" s="6">
        <f t="shared" si="217"/>
        <v>86.468343138866061</v>
      </c>
      <c r="BZ124">
        <f t="shared" si="218"/>
        <v>14.000000000000002</v>
      </c>
      <c r="CB124" s="583">
        <f t="shared" si="219"/>
        <v>-50</v>
      </c>
      <c r="CC124">
        <f t="shared" si="220"/>
        <v>-50</v>
      </c>
    </row>
    <row r="125" spans="5:81" x14ac:dyDescent="0.2">
      <c r="E125" s="178">
        <v>15</v>
      </c>
      <c r="F125" s="225">
        <f t="shared" si="221"/>
        <v>4.4999999999999998E-2</v>
      </c>
      <c r="G125" s="225">
        <f t="shared" si="160"/>
        <v>4.4999999999999998E-2</v>
      </c>
      <c r="H125" s="225">
        <f t="shared" si="161"/>
        <v>0.67499999999999993</v>
      </c>
      <c r="I125" s="225">
        <f t="shared" si="162"/>
        <v>0.36</v>
      </c>
      <c r="J125" s="561">
        <f t="shared" si="163"/>
        <v>7</v>
      </c>
      <c r="K125" s="456">
        <f t="shared" si="164"/>
        <v>15.25</v>
      </c>
      <c r="L125" s="456">
        <f t="shared" si="165"/>
        <v>22.25</v>
      </c>
      <c r="M125" s="456"/>
      <c r="N125" s="225">
        <f t="shared" si="166"/>
        <v>0.6853932584269663</v>
      </c>
      <c r="O125" s="180">
        <f t="shared" si="167"/>
        <v>2.0416524181729359</v>
      </c>
      <c r="P125" s="180">
        <f t="shared" si="168"/>
        <v>1.6696179775280899</v>
      </c>
      <c r="Q125" s="225">
        <f t="shared" si="169"/>
        <v>0.13611016121152905</v>
      </c>
      <c r="R125" s="225">
        <f t="shared" si="170"/>
        <v>0.25520655227161698</v>
      </c>
      <c r="S125" s="225">
        <f t="shared" si="171"/>
        <v>15</v>
      </c>
      <c r="T125" s="225">
        <f t="shared" si="172"/>
        <v>0.47939110070257612</v>
      </c>
      <c r="U125" s="225">
        <f t="shared" si="173"/>
        <v>2.7393777183004353</v>
      </c>
      <c r="V125" s="225">
        <f t="shared" si="174"/>
        <v>1.2574192805313473</v>
      </c>
      <c r="W125" s="205">
        <f t="shared" si="175"/>
        <v>350</v>
      </c>
      <c r="X125" s="456">
        <f t="shared" si="176"/>
        <v>250.20034800173451</v>
      </c>
      <c r="Z125" s="225">
        <f t="shared" si="177"/>
        <v>0.34269662921348309</v>
      </c>
      <c r="AA125" s="181">
        <f t="shared" si="178"/>
        <v>0.89887640449438189</v>
      </c>
      <c r="AB125" s="181">
        <f t="shared" si="179"/>
        <v>3.5156957564646527E-2</v>
      </c>
      <c r="AC125" s="181"/>
      <c r="AD125" s="181">
        <f t="shared" si="180"/>
        <v>0.76065573770491812</v>
      </c>
      <c r="AE125" s="565">
        <f t="shared" si="181"/>
        <v>407.99643281807374</v>
      </c>
      <c r="AF125" s="548">
        <f t="shared" si="182"/>
        <v>3.8603278688524589E-2</v>
      </c>
      <c r="AH125" s="181">
        <f t="shared" si="183"/>
        <v>0.3845219666769934</v>
      </c>
      <c r="AI125" s="181">
        <f t="shared" si="184"/>
        <v>0.47939110070257612</v>
      </c>
      <c r="AJ125" s="181">
        <f t="shared" si="185"/>
        <v>1.3402897042241304</v>
      </c>
      <c r="AL125" s="565">
        <f t="shared" si="186"/>
        <v>45</v>
      </c>
      <c r="AM125" s="474">
        <f t="shared" si="187"/>
        <v>250.20034800173451</v>
      </c>
      <c r="AO125" s="474">
        <f t="shared" si="188"/>
        <v>45</v>
      </c>
      <c r="AP125" s="474">
        <f t="shared" si="189"/>
        <v>250.20034800173451</v>
      </c>
      <c r="AR125" s="6">
        <f t="shared" si="140"/>
        <v>3.9967969988317824</v>
      </c>
      <c r="AS125" s="6">
        <f t="shared" si="222"/>
        <v>2.7393777183004353</v>
      </c>
      <c r="AT125" s="6">
        <f t="shared" si="223"/>
        <v>1.2574192805313471</v>
      </c>
      <c r="AU125" s="181">
        <f t="shared" si="224"/>
        <v>0.6853932584269663</v>
      </c>
      <c r="AW125" s="6">
        <f t="shared" si="193"/>
        <v>0.82181331549013059</v>
      </c>
      <c r="AX125" s="6">
        <f t="shared" si="194"/>
        <v>1.5408999665439946</v>
      </c>
      <c r="AY125" s="6">
        <f t="shared" si="195"/>
        <v>0.22453915723774046</v>
      </c>
      <c r="AZ125" s="6"/>
      <c r="BA125" s="181">
        <f t="shared" si="196"/>
        <v>0.22913912717115412</v>
      </c>
      <c r="BB125" s="181">
        <f t="shared" si="197"/>
        <v>0.15524347396971042</v>
      </c>
      <c r="BC125" s="181">
        <f t="shared" si="198"/>
        <v>0.15304811171155289</v>
      </c>
      <c r="BD125" s="181"/>
      <c r="BE125" s="548">
        <f t="shared" si="199"/>
        <v>1.8376658860265419E-2</v>
      </c>
      <c r="BF125" s="548">
        <f t="shared" si="200"/>
        <v>2.6687499999999996E-2</v>
      </c>
      <c r="BG125" s="548">
        <f t="shared" si="201"/>
        <v>3.127504350021681E-3</v>
      </c>
      <c r="BH125" s="548">
        <f t="shared" si="202"/>
        <v>7.1222265624999994E-3</v>
      </c>
      <c r="BI125">
        <f t="shared" si="203"/>
        <v>2.0300000000000001E-3</v>
      </c>
      <c r="BJ125" s="474">
        <f t="shared" si="204"/>
        <v>57.343889772787094</v>
      </c>
      <c r="BK125" s="181">
        <f t="shared" si="205"/>
        <v>1.575E-2</v>
      </c>
      <c r="BL125" s="181">
        <f t="shared" si="206"/>
        <v>1.575E-2</v>
      </c>
      <c r="BM125" s="548"/>
      <c r="BO125" s="474">
        <f t="shared" si="207"/>
        <v>31.5</v>
      </c>
      <c r="BP125" s="548">
        <f t="shared" si="208"/>
        <v>0</v>
      </c>
      <c r="BQ125" s="548">
        <f t="shared" si="209"/>
        <v>0</v>
      </c>
      <c r="BR125" s="548">
        <f t="shared" si="210"/>
        <v>2.1081352048624774E-3</v>
      </c>
      <c r="BS125" s="548">
        <f t="shared" si="211"/>
        <v>7.877976790082274E-3</v>
      </c>
      <c r="BT125" s="658">
        <f t="shared" si="212"/>
        <v>6.0374999999999998E-2</v>
      </c>
      <c r="BU125" s="474">
        <f t="shared" si="213"/>
        <v>70.361111994944736</v>
      </c>
      <c r="BV125" s="181">
        <f t="shared" si="214"/>
        <v>0.15920500176773184</v>
      </c>
      <c r="BW125" s="6">
        <f t="shared" si="215"/>
        <v>1.0349999999999999</v>
      </c>
      <c r="BX125" s="181">
        <f t="shared" si="216"/>
        <v>0.86668536680715014</v>
      </c>
      <c r="BY125" s="6">
        <f t="shared" si="217"/>
        <v>86.668536680715007</v>
      </c>
      <c r="BZ125">
        <f t="shared" si="218"/>
        <v>15</v>
      </c>
      <c r="CB125" s="583">
        <f t="shared" si="219"/>
        <v>-50</v>
      </c>
      <c r="CC125">
        <f t="shared" si="220"/>
        <v>-50</v>
      </c>
    </row>
    <row r="126" spans="5:81" x14ac:dyDescent="0.2">
      <c r="E126" s="178">
        <v>16</v>
      </c>
      <c r="F126" s="225">
        <f t="shared" si="221"/>
        <v>4.8000000000000001E-2</v>
      </c>
      <c r="G126" s="225">
        <f t="shared" si="160"/>
        <v>4.8000000000000001E-2</v>
      </c>
      <c r="H126" s="225">
        <f t="shared" si="161"/>
        <v>0.72</v>
      </c>
      <c r="I126" s="225">
        <f t="shared" si="162"/>
        <v>0.38400000000000001</v>
      </c>
      <c r="J126" s="561">
        <f t="shared" si="163"/>
        <v>7</v>
      </c>
      <c r="K126" s="456">
        <f t="shared" si="164"/>
        <v>15.25</v>
      </c>
      <c r="L126" s="456">
        <f t="shared" si="165"/>
        <v>22.25</v>
      </c>
      <c r="M126" s="456"/>
      <c r="N126" s="225">
        <f t="shared" si="166"/>
        <v>0.6853932584269663</v>
      </c>
      <c r="O126" s="180">
        <f t="shared" si="167"/>
        <v>2.0416524181729359</v>
      </c>
      <c r="P126" s="180">
        <f t="shared" si="168"/>
        <v>1.6696179775280899</v>
      </c>
      <c r="Q126" s="225">
        <f t="shared" si="169"/>
        <v>0.13611016121152905</v>
      </c>
      <c r="R126" s="225">
        <f t="shared" si="170"/>
        <v>0.25520655227161698</v>
      </c>
      <c r="S126" s="225">
        <f t="shared" si="171"/>
        <v>15</v>
      </c>
      <c r="T126" s="225">
        <f t="shared" si="172"/>
        <v>0.51135050741608123</v>
      </c>
      <c r="U126" s="225">
        <f t="shared" si="173"/>
        <v>2.9220028995204643</v>
      </c>
      <c r="V126" s="225">
        <f t="shared" si="174"/>
        <v>1.3412472325667706</v>
      </c>
      <c r="W126" s="205">
        <f t="shared" si="175"/>
        <v>350</v>
      </c>
      <c r="X126" s="456">
        <f t="shared" si="176"/>
        <v>234.56282625162609</v>
      </c>
      <c r="Z126" s="225">
        <f t="shared" si="177"/>
        <v>0.34269662921348309</v>
      </c>
      <c r="AA126" s="181">
        <f t="shared" si="178"/>
        <v>0.89887640449438189</v>
      </c>
      <c r="AB126" s="181">
        <f t="shared" si="179"/>
        <v>3.5156957564646527E-2</v>
      </c>
      <c r="AC126" s="181"/>
      <c r="AD126" s="181">
        <f t="shared" si="180"/>
        <v>0.76065573770491812</v>
      </c>
      <c r="AE126" s="565">
        <f t="shared" si="181"/>
        <v>435.1961950059453</v>
      </c>
      <c r="AF126" s="548">
        <f t="shared" si="182"/>
        <v>3.8603278688524589E-2</v>
      </c>
      <c r="AH126" s="181">
        <f t="shared" si="183"/>
        <v>0.39713257951757835</v>
      </c>
      <c r="AI126" s="181">
        <f t="shared" si="184"/>
        <v>0.51135050741608123</v>
      </c>
      <c r="AJ126" s="181">
        <f t="shared" si="185"/>
        <v>1.3639633388267267</v>
      </c>
      <c r="AL126" s="565">
        <f t="shared" si="186"/>
        <v>48</v>
      </c>
      <c r="AM126" s="474">
        <f t="shared" si="187"/>
        <v>234.56282625162609</v>
      </c>
      <c r="AO126" s="474">
        <f t="shared" si="188"/>
        <v>48</v>
      </c>
      <c r="AP126" s="474">
        <f t="shared" si="189"/>
        <v>234.56282625162609</v>
      </c>
      <c r="AR126" s="6">
        <f t="shared" si="140"/>
        <v>4.2632501320872347</v>
      </c>
      <c r="AS126" s="6">
        <f t="shared" si="222"/>
        <v>2.9220028995204643</v>
      </c>
      <c r="AT126" s="6">
        <f t="shared" si="223"/>
        <v>1.3412472325667704</v>
      </c>
      <c r="AU126" s="181">
        <f t="shared" si="224"/>
        <v>0.6853932584269663</v>
      </c>
      <c r="AW126" s="6">
        <f t="shared" si="193"/>
        <v>0.93504092784654869</v>
      </c>
      <c r="AX126" s="6">
        <f t="shared" si="194"/>
        <v>1.7532017397122786</v>
      </c>
      <c r="AY126" s="6">
        <f t="shared" si="195"/>
        <v>0.25547566334605143</v>
      </c>
      <c r="AZ126" s="6"/>
      <c r="BA126" s="181">
        <f t="shared" si="196"/>
        <v>0.2444150689825644</v>
      </c>
      <c r="BB126" s="181">
        <f t="shared" si="197"/>
        <v>0.16559303890102445</v>
      </c>
      <c r="BC126" s="181">
        <f t="shared" si="198"/>
        <v>0.16325131915898977</v>
      </c>
      <c r="BD126" s="181"/>
      <c r="BE126" s="548">
        <f t="shared" si="199"/>
        <v>2.0908554081013102E-2</v>
      </c>
      <c r="BF126" s="548">
        <f t="shared" si="200"/>
        <v>2.6687499999999999E-2</v>
      </c>
      <c r="BG126" s="548">
        <f t="shared" si="201"/>
        <v>2.932035328145326E-3</v>
      </c>
      <c r="BH126" s="548">
        <f t="shared" si="202"/>
        <v>6.6770874023437485E-3</v>
      </c>
      <c r="BI126">
        <f t="shared" si="203"/>
        <v>2.0300000000000001E-3</v>
      </c>
      <c r="BJ126" s="474">
        <f t="shared" si="204"/>
        <v>59.235176811502164</v>
      </c>
      <c r="BK126" s="181">
        <f t="shared" si="205"/>
        <v>1.6799999999999999E-2</v>
      </c>
      <c r="BL126" s="181">
        <f t="shared" si="206"/>
        <v>1.6799999999999999E-2</v>
      </c>
      <c r="BM126" s="548"/>
      <c r="BO126" s="474">
        <f t="shared" si="207"/>
        <v>33.6</v>
      </c>
      <c r="BP126" s="548">
        <f t="shared" si="208"/>
        <v>0</v>
      </c>
      <c r="BQ126" s="548">
        <f t="shared" si="209"/>
        <v>0</v>
      </c>
      <c r="BR126" s="548">
        <f t="shared" si="210"/>
        <v>2.3985893886435306E-3</v>
      </c>
      <c r="BS126" s="548">
        <f t="shared" si="211"/>
        <v>7.8779767900822775E-3</v>
      </c>
      <c r="BT126" s="658">
        <f t="shared" si="212"/>
        <v>6.4400000000000027E-2</v>
      </c>
      <c r="BU126" s="474">
        <f t="shared" si="213"/>
        <v>74.676566178725835</v>
      </c>
      <c r="BV126" s="181">
        <f t="shared" si="214"/>
        <v>0.16751174299022797</v>
      </c>
      <c r="BW126" s="6">
        <f t="shared" si="215"/>
        <v>1.1040000000000001</v>
      </c>
      <c r="BX126" s="181">
        <f t="shared" si="216"/>
        <v>0.86825780893199711</v>
      </c>
      <c r="BY126" s="6">
        <f t="shared" si="217"/>
        <v>86.825780893199706</v>
      </c>
      <c r="BZ126">
        <f t="shared" si="218"/>
        <v>16</v>
      </c>
      <c r="CB126" s="583">
        <f t="shared" si="219"/>
        <v>-50</v>
      </c>
      <c r="CC126">
        <f t="shared" si="220"/>
        <v>-50</v>
      </c>
    </row>
    <row r="127" spans="5:81" x14ac:dyDescent="0.2">
      <c r="E127" s="178">
        <v>17</v>
      </c>
      <c r="F127" s="225">
        <f t="shared" si="221"/>
        <v>5.1000000000000004E-2</v>
      </c>
      <c r="G127" s="225">
        <f t="shared" si="160"/>
        <v>5.1000000000000004E-2</v>
      </c>
      <c r="H127" s="225">
        <f t="shared" si="161"/>
        <v>0.76500000000000001</v>
      </c>
      <c r="I127" s="225">
        <f t="shared" si="162"/>
        <v>0.40800000000000003</v>
      </c>
      <c r="J127" s="561">
        <f t="shared" si="163"/>
        <v>7</v>
      </c>
      <c r="K127" s="456">
        <f t="shared" si="164"/>
        <v>15.25</v>
      </c>
      <c r="L127" s="456">
        <f t="shared" si="165"/>
        <v>22.25</v>
      </c>
      <c r="M127" s="456"/>
      <c r="N127" s="225">
        <f t="shared" si="166"/>
        <v>0.6853932584269663</v>
      </c>
      <c r="O127" s="180">
        <f t="shared" si="167"/>
        <v>2.0416524181729359</v>
      </c>
      <c r="P127" s="180">
        <f t="shared" si="168"/>
        <v>1.6696179775280899</v>
      </c>
      <c r="Q127" s="225">
        <f t="shared" si="169"/>
        <v>0.13611016121152905</v>
      </c>
      <c r="R127" s="225">
        <f t="shared" si="170"/>
        <v>0.25520655227161698</v>
      </c>
      <c r="S127" s="225">
        <f t="shared" si="171"/>
        <v>15</v>
      </c>
      <c r="T127" s="225">
        <f t="shared" si="172"/>
        <v>0.54330991412958629</v>
      </c>
      <c r="U127" s="225">
        <f t="shared" si="173"/>
        <v>3.1046280807404933</v>
      </c>
      <c r="V127" s="225">
        <f t="shared" si="174"/>
        <v>1.4250751846021936</v>
      </c>
      <c r="W127" s="205">
        <f t="shared" si="175"/>
        <v>350</v>
      </c>
      <c r="X127" s="456">
        <f t="shared" si="176"/>
        <v>220.7650129427069</v>
      </c>
      <c r="Z127" s="225">
        <f t="shared" si="177"/>
        <v>0.34269662921348309</v>
      </c>
      <c r="AA127" s="181">
        <f t="shared" si="178"/>
        <v>0.89887640449438189</v>
      </c>
      <c r="AB127" s="181">
        <f t="shared" si="179"/>
        <v>3.5156957564646527E-2</v>
      </c>
      <c r="AC127" s="181"/>
      <c r="AD127" s="181">
        <f t="shared" si="180"/>
        <v>0.76065573770491812</v>
      </c>
      <c r="AE127" s="565">
        <f t="shared" si="181"/>
        <v>462.39595719381691</v>
      </c>
      <c r="AF127" s="548">
        <f t="shared" si="182"/>
        <v>3.8603278688524589E-2</v>
      </c>
      <c r="AH127" s="181">
        <f t="shared" si="183"/>
        <v>0.40935489318124507</v>
      </c>
      <c r="AI127" s="181">
        <f t="shared" si="184"/>
        <v>0.54330991412958629</v>
      </c>
      <c r="AJ127" s="181">
        <f t="shared" si="185"/>
        <v>1.387636973429323</v>
      </c>
      <c r="AL127" s="565">
        <f t="shared" si="186"/>
        <v>51.000000000000007</v>
      </c>
      <c r="AM127" s="474">
        <f t="shared" si="187"/>
        <v>220.7650129427069</v>
      </c>
      <c r="AO127" s="474">
        <f t="shared" si="188"/>
        <v>51.000000000000007</v>
      </c>
      <c r="AP127" s="474">
        <f t="shared" si="189"/>
        <v>220.7650129427069</v>
      </c>
      <c r="AR127" s="6">
        <f t="shared" si="140"/>
        <v>4.529703265342687</v>
      </c>
      <c r="AS127" s="6">
        <f t="shared" si="222"/>
        <v>3.1046280807404933</v>
      </c>
      <c r="AT127" s="6">
        <f t="shared" si="223"/>
        <v>1.4250751846021936</v>
      </c>
      <c r="AU127" s="181">
        <f t="shared" si="224"/>
        <v>0.6853932584269663</v>
      </c>
      <c r="AW127" s="6">
        <f t="shared" si="193"/>
        <v>1.055573547451768</v>
      </c>
      <c r="AX127" s="6">
        <f t="shared" si="194"/>
        <v>1.9792004014720648</v>
      </c>
      <c r="AY127" s="6">
        <f t="shared" si="195"/>
        <v>0.28840807307425342</v>
      </c>
      <c r="AZ127" s="6"/>
      <c r="BA127" s="181">
        <f t="shared" si="196"/>
        <v>0.25969101079397466</v>
      </c>
      <c r="BB127" s="181">
        <f t="shared" si="197"/>
        <v>0.17594260383233848</v>
      </c>
      <c r="BC127" s="181">
        <f t="shared" si="198"/>
        <v>0.1734545266064266</v>
      </c>
      <c r="BD127" s="181"/>
      <c r="BE127" s="548">
        <f t="shared" si="199"/>
        <v>2.3603797380518692E-2</v>
      </c>
      <c r="BF127" s="548">
        <f t="shared" si="200"/>
        <v>2.6687499999999999E-2</v>
      </c>
      <c r="BG127" s="548">
        <f t="shared" si="201"/>
        <v>2.7595626617838362E-3</v>
      </c>
      <c r="BH127" s="548">
        <f t="shared" si="202"/>
        <v>6.284317555147057E-3</v>
      </c>
      <c r="BI127">
        <f t="shared" si="203"/>
        <v>2.0300000000000001E-3</v>
      </c>
      <c r="BJ127" s="474">
        <f t="shared" si="204"/>
        <v>61.365177597449581</v>
      </c>
      <c r="BK127" s="181">
        <f t="shared" si="205"/>
        <v>1.7850000000000001E-2</v>
      </c>
      <c r="BL127" s="181">
        <f t="shared" si="206"/>
        <v>1.7850000000000001E-2</v>
      </c>
      <c r="BM127" s="548"/>
      <c r="BO127" s="474">
        <f t="shared" si="207"/>
        <v>35.700000000000003</v>
      </c>
      <c r="BP127" s="548">
        <f t="shared" si="208"/>
        <v>0</v>
      </c>
      <c r="BQ127" s="548">
        <f t="shared" si="209"/>
        <v>0</v>
      </c>
      <c r="BR127" s="548">
        <f t="shared" si="210"/>
        <v>2.7077825520233595E-3</v>
      </c>
      <c r="BS127" s="548">
        <f t="shared" si="211"/>
        <v>7.8779767900822827E-3</v>
      </c>
      <c r="BT127" s="658">
        <f t="shared" si="212"/>
        <v>6.8425000000000014E-2</v>
      </c>
      <c r="BU127" s="474">
        <f t="shared" si="213"/>
        <v>79.010759342105658</v>
      </c>
      <c r="BV127" s="181">
        <f t="shared" si="214"/>
        <v>0.17607593693955526</v>
      </c>
      <c r="BW127" s="6">
        <f t="shared" si="215"/>
        <v>1.173</v>
      </c>
      <c r="BX127" s="181">
        <f t="shared" si="216"/>
        <v>0.86948404302652371</v>
      </c>
      <c r="BY127" s="6">
        <f t="shared" si="217"/>
        <v>86.948404302652378</v>
      </c>
      <c r="BZ127">
        <f t="shared" si="218"/>
        <v>17</v>
      </c>
      <c r="CB127" s="583">
        <f t="shared" si="219"/>
        <v>-50</v>
      </c>
      <c r="CC127">
        <f t="shared" si="220"/>
        <v>-50</v>
      </c>
    </row>
    <row r="128" spans="5:81" x14ac:dyDescent="0.2">
      <c r="E128" s="178">
        <v>18</v>
      </c>
      <c r="F128" s="225">
        <f t="shared" si="221"/>
        <v>5.3999999999999999E-2</v>
      </c>
      <c r="G128" s="225">
        <f t="shared" si="160"/>
        <v>5.3999999999999999E-2</v>
      </c>
      <c r="H128" s="225">
        <f t="shared" si="161"/>
        <v>0.80999999999999994</v>
      </c>
      <c r="I128" s="225">
        <f t="shared" si="162"/>
        <v>0.432</v>
      </c>
      <c r="J128" s="561">
        <f t="shared" si="163"/>
        <v>7</v>
      </c>
      <c r="K128" s="456">
        <f t="shared" si="164"/>
        <v>15.25</v>
      </c>
      <c r="L128" s="456">
        <f t="shared" si="165"/>
        <v>22.25</v>
      </c>
      <c r="M128" s="456"/>
      <c r="N128" s="225">
        <f t="shared" si="166"/>
        <v>0.6853932584269663</v>
      </c>
      <c r="O128" s="180">
        <f t="shared" si="167"/>
        <v>2.0416524181729359</v>
      </c>
      <c r="P128" s="180">
        <f t="shared" si="168"/>
        <v>1.6696179775280899</v>
      </c>
      <c r="Q128" s="225">
        <f t="shared" si="169"/>
        <v>0.13611016121152905</v>
      </c>
      <c r="R128" s="225">
        <f t="shared" si="170"/>
        <v>0.25520655227161698</v>
      </c>
      <c r="S128" s="225">
        <f t="shared" si="171"/>
        <v>15</v>
      </c>
      <c r="T128" s="225">
        <f t="shared" si="172"/>
        <v>0.57526932084309135</v>
      </c>
      <c r="U128" s="225">
        <f t="shared" si="173"/>
        <v>3.2872532619605219</v>
      </c>
      <c r="V128" s="225">
        <f t="shared" si="174"/>
        <v>1.5089031366376167</v>
      </c>
      <c r="W128" s="205">
        <f t="shared" si="175"/>
        <v>350</v>
      </c>
      <c r="X128" s="456">
        <f t="shared" si="176"/>
        <v>208.50029000144542</v>
      </c>
      <c r="Z128" s="225">
        <f t="shared" si="177"/>
        <v>0.34269662921348309</v>
      </c>
      <c r="AA128" s="181">
        <f t="shared" si="178"/>
        <v>0.89887640449438189</v>
      </c>
      <c r="AB128" s="181">
        <f t="shared" si="179"/>
        <v>3.5156957564646527E-2</v>
      </c>
      <c r="AC128" s="181"/>
      <c r="AD128" s="181">
        <f t="shared" si="180"/>
        <v>0.76065573770491812</v>
      </c>
      <c r="AE128" s="565">
        <f t="shared" si="181"/>
        <v>489.59571938168847</v>
      </c>
      <c r="AF128" s="548">
        <f t="shared" si="182"/>
        <v>3.8603278688524589E-2</v>
      </c>
      <c r="AH128" s="181">
        <f t="shared" si="183"/>
        <v>0.42122271001047817</v>
      </c>
      <c r="AI128" s="181">
        <f t="shared" si="184"/>
        <v>0.57526932084309135</v>
      </c>
      <c r="AJ128" s="181">
        <f t="shared" si="185"/>
        <v>1.4113106080319195</v>
      </c>
      <c r="AL128" s="565">
        <f t="shared" si="186"/>
        <v>54</v>
      </c>
      <c r="AM128" s="474">
        <f t="shared" si="187"/>
        <v>208.50029000144542</v>
      </c>
      <c r="AO128" s="474">
        <f t="shared" si="188"/>
        <v>54</v>
      </c>
      <c r="AP128" s="474">
        <f t="shared" si="189"/>
        <v>208.50029000144542</v>
      </c>
      <c r="AR128" s="6">
        <f t="shared" si="140"/>
        <v>4.7961563985981392</v>
      </c>
      <c r="AS128" s="6">
        <f t="shared" si="222"/>
        <v>3.2872532619605219</v>
      </c>
      <c r="AT128" s="6">
        <f t="shared" si="223"/>
        <v>1.5089031366376173</v>
      </c>
      <c r="AU128" s="181">
        <f t="shared" si="224"/>
        <v>0.68539325842696619</v>
      </c>
      <c r="AW128" s="6">
        <f t="shared" si="193"/>
        <v>1.183411174305788</v>
      </c>
      <c r="AX128" s="6">
        <f t="shared" si="194"/>
        <v>2.218895951823352</v>
      </c>
      <c r="AY128" s="6">
        <f t="shared" si="195"/>
        <v>0.32333638642234647</v>
      </c>
      <c r="AZ128" s="6"/>
      <c r="BA128" s="181">
        <f t="shared" si="196"/>
        <v>0.27496695260538495</v>
      </c>
      <c r="BB128" s="181">
        <f t="shared" si="197"/>
        <v>0.18629216876365254</v>
      </c>
      <c r="BC128" s="181">
        <f t="shared" si="198"/>
        <v>0.18365773405386351</v>
      </c>
      <c r="BD128" s="181"/>
      <c r="BE128" s="548">
        <f t="shared" si="199"/>
        <v>2.6462388758782204E-2</v>
      </c>
      <c r="BF128" s="548">
        <f t="shared" si="200"/>
        <v>2.6687499999999996E-2</v>
      </c>
      <c r="BG128" s="548">
        <f t="shared" si="201"/>
        <v>2.6062536250180679E-3</v>
      </c>
      <c r="BH128" s="548">
        <f t="shared" si="202"/>
        <v>5.9351888020833321E-3</v>
      </c>
      <c r="BI128">
        <f t="shared" si="203"/>
        <v>2.0300000000000001E-3</v>
      </c>
      <c r="BJ128" s="474">
        <f t="shared" si="204"/>
        <v>63.721331185883592</v>
      </c>
      <c r="BK128" s="181">
        <f t="shared" si="205"/>
        <v>1.89E-2</v>
      </c>
      <c r="BL128" s="181">
        <f t="shared" si="206"/>
        <v>1.89E-2</v>
      </c>
      <c r="BM128" s="548"/>
      <c r="BO128" s="474">
        <f t="shared" si="207"/>
        <v>37.799999999999997</v>
      </c>
      <c r="BP128" s="548">
        <f t="shared" si="208"/>
        <v>0</v>
      </c>
      <c r="BQ128" s="548">
        <f t="shared" si="209"/>
        <v>0</v>
      </c>
      <c r="BR128" s="548">
        <f t="shared" si="210"/>
        <v>3.0357146950019693E-3</v>
      </c>
      <c r="BS128" s="548">
        <f t="shared" si="211"/>
        <v>7.8779767900822827E-3</v>
      </c>
      <c r="BT128" s="658">
        <f t="shared" si="212"/>
        <v>7.2450000000000014E-2</v>
      </c>
      <c r="BU128" s="474">
        <f t="shared" si="213"/>
        <v>83.363691485084274</v>
      </c>
      <c r="BV128" s="181">
        <f t="shared" si="214"/>
        <v>0.18488502267096785</v>
      </c>
      <c r="BW128" s="6">
        <f t="shared" si="215"/>
        <v>1.242</v>
      </c>
      <c r="BX128" s="181">
        <f t="shared" si="216"/>
        <v>0.87042752588089833</v>
      </c>
      <c r="BY128" s="6">
        <f t="shared" si="217"/>
        <v>87.04275258808984</v>
      </c>
      <c r="BZ128">
        <f t="shared" si="218"/>
        <v>18</v>
      </c>
      <c r="CB128" s="583">
        <f t="shared" si="219"/>
        <v>-50</v>
      </c>
      <c r="CC128">
        <f t="shared" si="220"/>
        <v>-50</v>
      </c>
    </row>
    <row r="129" spans="5:81" x14ac:dyDescent="0.2">
      <c r="E129" s="178">
        <v>19</v>
      </c>
      <c r="F129" s="225">
        <f t="shared" si="221"/>
        <v>5.6999999999999995E-2</v>
      </c>
      <c r="G129" s="225">
        <f t="shared" si="160"/>
        <v>5.6999999999999995E-2</v>
      </c>
      <c r="H129" s="225">
        <f t="shared" si="161"/>
        <v>0.85499999999999998</v>
      </c>
      <c r="I129" s="225">
        <f t="shared" si="162"/>
        <v>0.45599999999999996</v>
      </c>
      <c r="J129" s="561">
        <f t="shared" si="163"/>
        <v>7</v>
      </c>
      <c r="K129" s="456">
        <f t="shared" si="164"/>
        <v>15.25</v>
      </c>
      <c r="L129" s="456">
        <f t="shared" si="165"/>
        <v>22.25</v>
      </c>
      <c r="M129" s="456"/>
      <c r="N129" s="225">
        <f t="shared" si="166"/>
        <v>0.6853932584269663</v>
      </c>
      <c r="O129" s="180">
        <f t="shared" si="167"/>
        <v>2.0416524181729359</v>
      </c>
      <c r="P129" s="180">
        <f t="shared" si="168"/>
        <v>1.6696179775280899</v>
      </c>
      <c r="Q129" s="225">
        <f t="shared" si="169"/>
        <v>0.13611016121152905</v>
      </c>
      <c r="R129" s="225">
        <f t="shared" si="170"/>
        <v>0.25520655227161698</v>
      </c>
      <c r="S129" s="225">
        <f t="shared" si="171"/>
        <v>15</v>
      </c>
      <c r="T129" s="225">
        <f t="shared" si="172"/>
        <v>0.6072287275565964</v>
      </c>
      <c r="U129" s="225">
        <f t="shared" si="173"/>
        <v>3.4698784431805514</v>
      </c>
      <c r="V129" s="225">
        <f t="shared" si="174"/>
        <v>1.5927310886730397</v>
      </c>
      <c r="W129" s="205">
        <f t="shared" si="175"/>
        <v>350</v>
      </c>
      <c r="X129" s="456">
        <f t="shared" si="176"/>
        <v>197.52659052768516</v>
      </c>
      <c r="Z129" s="225">
        <f t="shared" si="177"/>
        <v>0.34269662921348309</v>
      </c>
      <c r="AA129" s="181">
        <f t="shared" si="178"/>
        <v>0.89887640449438189</v>
      </c>
      <c r="AB129" s="181">
        <f t="shared" si="179"/>
        <v>3.5156957564646527E-2</v>
      </c>
      <c r="AC129" s="181"/>
      <c r="AD129" s="181">
        <f t="shared" si="180"/>
        <v>0.76065573770491812</v>
      </c>
      <c r="AE129" s="565">
        <f t="shared" si="181"/>
        <v>516.79548156956002</v>
      </c>
      <c r="AF129" s="548">
        <f t="shared" si="182"/>
        <v>3.8603278688524589E-2</v>
      </c>
      <c r="AH129" s="181">
        <f t="shared" si="183"/>
        <v>0.43276519532618868</v>
      </c>
      <c r="AI129" s="181">
        <f t="shared" si="184"/>
        <v>0.6072287275565964</v>
      </c>
      <c r="AJ129" s="181">
        <f t="shared" si="185"/>
        <v>1.4349842426345158</v>
      </c>
      <c r="AL129" s="565">
        <f t="shared" si="186"/>
        <v>56.999999999999993</v>
      </c>
      <c r="AM129" s="474">
        <f t="shared" si="187"/>
        <v>197.52659052768516</v>
      </c>
      <c r="AO129" s="474">
        <f t="shared" si="188"/>
        <v>56.999999999999993</v>
      </c>
      <c r="AP129" s="474">
        <f t="shared" si="189"/>
        <v>197.52659052768516</v>
      </c>
      <c r="AR129" s="6">
        <f t="shared" si="140"/>
        <v>5.0626095318535906</v>
      </c>
      <c r="AS129" s="6">
        <f t="shared" si="222"/>
        <v>3.4698784431805514</v>
      </c>
      <c r="AT129" s="6">
        <f t="shared" si="223"/>
        <v>1.5927310886730393</v>
      </c>
      <c r="AU129" s="181">
        <f t="shared" si="224"/>
        <v>0.68539325842696641</v>
      </c>
      <c r="AW129" s="6">
        <f t="shared" si="193"/>
        <v>1.3185538084086095</v>
      </c>
      <c r="AX129" s="6">
        <f t="shared" si="194"/>
        <v>2.4722883907661424</v>
      </c>
      <c r="AY129" s="6">
        <f t="shared" si="195"/>
        <v>0.36026060339033023</v>
      </c>
      <c r="AZ129" s="6"/>
      <c r="BA129" s="181">
        <f t="shared" si="196"/>
        <v>0.29024289441679524</v>
      </c>
      <c r="BB129" s="181">
        <f t="shared" si="197"/>
        <v>0.19664173369496649</v>
      </c>
      <c r="BC129" s="181">
        <f t="shared" si="198"/>
        <v>0.19386094150130029</v>
      </c>
      <c r="BD129" s="181"/>
      <c r="BE129" s="548">
        <f t="shared" si="199"/>
        <v>2.9484328215803629E-2</v>
      </c>
      <c r="BF129" s="548">
        <f t="shared" si="200"/>
        <v>2.6687499999999999E-2</v>
      </c>
      <c r="BG129" s="548">
        <f t="shared" si="201"/>
        <v>2.4690823815960643E-3</v>
      </c>
      <c r="BH129" s="548">
        <f t="shared" si="202"/>
        <v>5.622810444078947E-3</v>
      </c>
      <c r="BI129">
        <f t="shared" si="203"/>
        <v>2.0300000000000001E-3</v>
      </c>
      <c r="BJ129" s="474">
        <f t="shared" si="204"/>
        <v>66.293721041478648</v>
      </c>
      <c r="BK129" s="181">
        <f t="shared" si="205"/>
        <v>1.9949999999999996E-2</v>
      </c>
      <c r="BL129" s="181">
        <f t="shared" si="206"/>
        <v>1.9949999999999996E-2</v>
      </c>
      <c r="BM129" s="548"/>
      <c r="BO129" s="474">
        <f t="shared" si="207"/>
        <v>39.899999999999991</v>
      </c>
      <c r="BP129" s="548">
        <f t="shared" si="208"/>
        <v>0</v>
      </c>
      <c r="BQ129" s="548">
        <f t="shared" si="209"/>
        <v>0</v>
      </c>
      <c r="BR129" s="548">
        <f t="shared" si="210"/>
        <v>3.3823858175793518E-3</v>
      </c>
      <c r="BS129" s="548">
        <f t="shared" si="211"/>
        <v>7.8779767900822931E-3</v>
      </c>
      <c r="BT129" s="658">
        <f t="shared" si="212"/>
        <v>7.6475000000000015E-2</v>
      </c>
      <c r="BU129" s="474">
        <f t="shared" si="213"/>
        <v>87.735362607661656</v>
      </c>
      <c r="BV129" s="181">
        <f t="shared" si="214"/>
        <v>0.1939290836491403</v>
      </c>
      <c r="BW129" s="6">
        <f t="shared" si="215"/>
        <v>1.3109999999999999</v>
      </c>
      <c r="BX129" s="181">
        <f t="shared" si="216"/>
        <v>0.87113739394357204</v>
      </c>
      <c r="BY129" s="6">
        <f t="shared" si="217"/>
        <v>87.113739394357196</v>
      </c>
      <c r="BZ129">
        <f t="shared" si="218"/>
        <v>19</v>
      </c>
      <c r="CB129" s="583">
        <f t="shared" si="219"/>
        <v>-50</v>
      </c>
      <c r="CC129">
        <f t="shared" si="220"/>
        <v>-50</v>
      </c>
    </row>
    <row r="130" spans="5:81" x14ac:dyDescent="0.2">
      <c r="E130" s="178">
        <v>20</v>
      </c>
      <c r="F130" s="225">
        <f t="shared" si="221"/>
        <v>0.06</v>
      </c>
      <c r="G130" s="225">
        <f t="shared" si="160"/>
        <v>0.06</v>
      </c>
      <c r="H130" s="225">
        <f t="shared" si="161"/>
        <v>0.89999999999999991</v>
      </c>
      <c r="I130" s="225">
        <f t="shared" si="162"/>
        <v>0.48</v>
      </c>
      <c r="J130" s="561">
        <f t="shared" si="163"/>
        <v>7</v>
      </c>
      <c r="K130" s="456">
        <f t="shared" si="164"/>
        <v>15.25</v>
      </c>
      <c r="L130" s="456">
        <f t="shared" si="165"/>
        <v>22.25</v>
      </c>
      <c r="M130" s="456"/>
      <c r="N130" s="225">
        <f t="shared" si="166"/>
        <v>0.6853932584269663</v>
      </c>
      <c r="O130" s="180">
        <f t="shared" si="167"/>
        <v>2.0416524181729359</v>
      </c>
      <c r="P130" s="180">
        <f t="shared" si="168"/>
        <v>1.6696179775280899</v>
      </c>
      <c r="Q130" s="225">
        <f t="shared" si="169"/>
        <v>0.13611016121152905</v>
      </c>
      <c r="R130" s="225">
        <f t="shared" si="170"/>
        <v>0.25520655227161698</v>
      </c>
      <c r="S130" s="225">
        <f t="shared" si="171"/>
        <v>15</v>
      </c>
      <c r="T130" s="225">
        <f t="shared" si="172"/>
        <v>0.63918813427010146</v>
      </c>
      <c r="U130" s="225">
        <f t="shared" si="173"/>
        <v>3.6525036244005804</v>
      </c>
      <c r="V130" s="225">
        <f t="shared" si="174"/>
        <v>1.676559040708463</v>
      </c>
      <c r="W130" s="205">
        <f t="shared" si="175"/>
        <v>350</v>
      </c>
      <c r="X130" s="456">
        <f t="shared" si="176"/>
        <v>187.65026100130086</v>
      </c>
      <c r="Z130" s="225">
        <f t="shared" si="177"/>
        <v>0.34269662921348309</v>
      </c>
      <c r="AA130" s="181">
        <f t="shared" si="178"/>
        <v>0.89887640449438189</v>
      </c>
      <c r="AB130" s="181">
        <f t="shared" si="179"/>
        <v>3.5156957564646527E-2</v>
      </c>
      <c r="AC130" s="181"/>
      <c r="AD130" s="181">
        <f t="shared" si="180"/>
        <v>0.76065573770491812</v>
      </c>
      <c r="AE130" s="565">
        <f t="shared" si="181"/>
        <v>543.99524375743158</v>
      </c>
      <c r="AF130" s="548">
        <f t="shared" si="182"/>
        <v>3.8603278688524589E-2</v>
      </c>
      <c r="AH130" s="181">
        <f t="shared" si="183"/>
        <v>0.44400772194057286</v>
      </c>
      <c r="AI130" s="181">
        <f t="shared" si="184"/>
        <v>0.63918813427010146</v>
      </c>
      <c r="AJ130" s="181">
        <f t="shared" si="185"/>
        <v>1.4586578772371122</v>
      </c>
      <c r="AL130" s="565">
        <f t="shared" si="186"/>
        <v>60</v>
      </c>
      <c r="AM130" s="474">
        <f t="shared" si="187"/>
        <v>187.65026100130086</v>
      </c>
      <c r="AO130" s="474">
        <f t="shared" si="188"/>
        <v>60</v>
      </c>
      <c r="AP130" s="474">
        <f t="shared" si="189"/>
        <v>187.65026100130086</v>
      </c>
      <c r="AR130" s="6">
        <f t="shared" si="140"/>
        <v>5.3290626651090429</v>
      </c>
      <c r="AS130" s="6">
        <f t="shared" si="222"/>
        <v>3.6525036244005804</v>
      </c>
      <c r="AT130" s="6">
        <f t="shared" si="223"/>
        <v>1.6765590407084625</v>
      </c>
      <c r="AU130" s="181">
        <f t="shared" si="224"/>
        <v>0.68539325842696641</v>
      </c>
      <c r="AW130" s="6">
        <f t="shared" si="193"/>
        <v>1.4610014497602322</v>
      </c>
      <c r="AX130" s="6">
        <f t="shared" si="194"/>
        <v>2.7393777183004349</v>
      </c>
      <c r="AY130" s="6">
        <f t="shared" si="195"/>
        <v>0.39918072397820531</v>
      </c>
      <c r="AZ130" s="6"/>
      <c r="BA130" s="181">
        <f t="shared" si="196"/>
        <v>0.30551883622820553</v>
      </c>
      <c r="BB130" s="181">
        <f t="shared" si="197"/>
        <v>0.20699129862628052</v>
      </c>
      <c r="BC130" s="181">
        <f t="shared" si="198"/>
        <v>0.20406414894873715</v>
      </c>
      <c r="BD130" s="181"/>
      <c r="BE130" s="548">
        <f t="shared" si="199"/>
        <v>3.2669615751582969E-2</v>
      </c>
      <c r="BF130" s="548">
        <f t="shared" si="200"/>
        <v>2.6687499999999996E-2</v>
      </c>
      <c r="BG130" s="548">
        <f t="shared" si="201"/>
        <v>2.3456282625162607E-3</v>
      </c>
      <c r="BH130" s="548">
        <f t="shared" si="202"/>
        <v>5.3416699218749994E-3</v>
      </c>
      <c r="BI130">
        <f t="shared" si="203"/>
        <v>2.0300000000000001E-3</v>
      </c>
      <c r="BJ130" s="474">
        <f t="shared" si="204"/>
        <v>69.074413935974235</v>
      </c>
      <c r="BK130" s="181">
        <f t="shared" si="205"/>
        <v>2.0999999999999998E-2</v>
      </c>
      <c r="BL130" s="181">
        <f t="shared" si="206"/>
        <v>2.0999999999999998E-2</v>
      </c>
      <c r="BM130" s="548"/>
      <c r="BO130" s="474">
        <f t="shared" si="207"/>
        <v>41.999999999999993</v>
      </c>
      <c r="BP130" s="548">
        <f t="shared" si="208"/>
        <v>0</v>
      </c>
      <c r="BQ130" s="548">
        <f t="shared" si="209"/>
        <v>0</v>
      </c>
      <c r="BR130" s="548">
        <f t="shared" si="210"/>
        <v>3.7477959197555143E-3</v>
      </c>
      <c r="BS130" s="548">
        <f t="shared" si="211"/>
        <v>7.8779767900822775E-3</v>
      </c>
      <c r="BT130" s="658">
        <f t="shared" si="212"/>
        <v>8.0499999999999988E-2</v>
      </c>
      <c r="BU130" s="474">
        <f t="shared" si="213"/>
        <v>92.125772709837776</v>
      </c>
      <c r="BV130" s="181">
        <f t="shared" si="214"/>
        <v>0.20320018664581202</v>
      </c>
      <c r="BW130" s="6">
        <f t="shared" si="215"/>
        <v>1.38</v>
      </c>
      <c r="BX130" s="181">
        <f t="shared" si="216"/>
        <v>0.87165224691116638</v>
      </c>
      <c r="BY130" s="6">
        <f t="shared" si="217"/>
        <v>87.165224691116634</v>
      </c>
      <c r="BZ130">
        <f t="shared" si="218"/>
        <v>20</v>
      </c>
      <c r="CB130" s="583">
        <f t="shared" si="219"/>
        <v>-50</v>
      </c>
      <c r="CC130">
        <f t="shared" si="220"/>
        <v>-50</v>
      </c>
    </row>
    <row r="131" spans="5:81" x14ac:dyDescent="0.2">
      <c r="E131" s="178">
        <v>21</v>
      </c>
      <c r="F131" s="225">
        <f t="shared" si="221"/>
        <v>6.3E-2</v>
      </c>
      <c r="G131" s="225">
        <f t="shared" si="160"/>
        <v>6.3E-2</v>
      </c>
      <c r="H131" s="225">
        <f t="shared" si="161"/>
        <v>0.94500000000000006</v>
      </c>
      <c r="I131" s="225">
        <f t="shared" si="162"/>
        <v>0.504</v>
      </c>
      <c r="J131" s="561">
        <f t="shared" si="163"/>
        <v>7</v>
      </c>
      <c r="K131" s="456">
        <f t="shared" si="164"/>
        <v>15.25</v>
      </c>
      <c r="L131" s="456">
        <f t="shared" si="165"/>
        <v>22.25</v>
      </c>
      <c r="M131" s="456"/>
      <c r="N131" s="225">
        <f t="shared" si="166"/>
        <v>0.6853932584269663</v>
      </c>
      <c r="O131" s="180">
        <f t="shared" si="167"/>
        <v>2.0416524181729359</v>
      </c>
      <c r="P131" s="180">
        <f t="shared" si="168"/>
        <v>1.6696179775280899</v>
      </c>
      <c r="Q131" s="225">
        <f t="shared" si="169"/>
        <v>0.13611016121152905</v>
      </c>
      <c r="R131" s="225">
        <f t="shared" si="170"/>
        <v>0.25520655227161698</v>
      </c>
      <c r="S131" s="225">
        <f t="shared" si="171"/>
        <v>15</v>
      </c>
      <c r="T131" s="225">
        <f t="shared" si="172"/>
        <v>0.67114754098360663</v>
      </c>
      <c r="U131" s="225">
        <f t="shared" si="173"/>
        <v>3.8351288056206094</v>
      </c>
      <c r="V131" s="225">
        <f t="shared" si="174"/>
        <v>1.7603869927438862</v>
      </c>
      <c r="W131" s="205">
        <f t="shared" si="175"/>
        <v>350</v>
      </c>
      <c r="X131" s="456">
        <f t="shared" si="176"/>
        <v>178.71453428695321</v>
      </c>
      <c r="Z131" s="225">
        <f t="shared" si="177"/>
        <v>0.34269662921348309</v>
      </c>
      <c r="AA131" s="181">
        <f t="shared" si="178"/>
        <v>0.89887640449438189</v>
      </c>
      <c r="AB131" s="181">
        <f t="shared" si="179"/>
        <v>3.5156957564646527E-2</v>
      </c>
      <c r="AC131" s="181"/>
      <c r="AD131" s="181">
        <f t="shared" si="180"/>
        <v>0.76065573770491812</v>
      </c>
      <c r="AE131" s="565">
        <f t="shared" si="181"/>
        <v>571.19500594530325</v>
      </c>
      <c r="AF131" s="548">
        <f t="shared" si="182"/>
        <v>3.8603278688524589E-2</v>
      </c>
      <c r="AH131" s="181">
        <f t="shared" si="183"/>
        <v>0.45497252664309301</v>
      </c>
      <c r="AI131" s="181">
        <f t="shared" si="184"/>
        <v>0.67114754098360663</v>
      </c>
      <c r="AJ131" s="181">
        <f t="shared" si="185"/>
        <v>1.4823315118397087</v>
      </c>
      <c r="AL131" s="565">
        <f t="shared" si="186"/>
        <v>63</v>
      </c>
      <c r="AM131" s="474">
        <f t="shared" si="187"/>
        <v>178.71453428695321</v>
      </c>
      <c r="AO131" s="474">
        <f t="shared" si="188"/>
        <v>63</v>
      </c>
      <c r="AP131" s="474">
        <f t="shared" si="189"/>
        <v>178.71453428695321</v>
      </c>
      <c r="AR131" s="6">
        <f t="shared" si="140"/>
        <v>5.5955157983644961</v>
      </c>
      <c r="AS131" s="6">
        <f t="shared" si="222"/>
        <v>3.8351288056206094</v>
      </c>
      <c r="AT131" s="6">
        <f t="shared" si="223"/>
        <v>1.7603869927438867</v>
      </c>
      <c r="AU131" s="181">
        <f t="shared" si="224"/>
        <v>0.6853932584269663</v>
      </c>
      <c r="AW131" s="6">
        <f t="shared" si="193"/>
        <v>1.6107540983606559</v>
      </c>
      <c r="AX131" s="6">
        <f t="shared" si="194"/>
        <v>3.0201639344262299</v>
      </c>
      <c r="AY131" s="6">
        <f t="shared" si="195"/>
        <v>0.44009674818597155</v>
      </c>
      <c r="AZ131" s="6"/>
      <c r="BA131" s="181">
        <f t="shared" si="196"/>
        <v>0.32079477803961576</v>
      </c>
      <c r="BB131" s="181">
        <f t="shared" si="197"/>
        <v>0.2173408635575946</v>
      </c>
      <c r="BC131" s="181">
        <f t="shared" si="198"/>
        <v>0.21426735639617406</v>
      </c>
      <c r="BD131" s="181"/>
      <c r="BE131" s="548">
        <f t="shared" si="199"/>
        <v>3.6018251366120219E-2</v>
      </c>
      <c r="BF131" s="548">
        <f t="shared" si="200"/>
        <v>2.6687499999999999E-2</v>
      </c>
      <c r="BG131" s="548">
        <f t="shared" si="201"/>
        <v>2.2339316785869147E-3</v>
      </c>
      <c r="BH131" s="548">
        <f t="shared" si="202"/>
        <v>5.0873046874999996E-3</v>
      </c>
      <c r="BI131">
        <f t="shared" si="203"/>
        <v>2.0300000000000001E-3</v>
      </c>
      <c r="BJ131" s="474">
        <f t="shared" si="204"/>
        <v>72.056987732207148</v>
      </c>
      <c r="BK131" s="181">
        <f t="shared" si="205"/>
        <v>2.205E-2</v>
      </c>
      <c r="BL131" s="181">
        <f t="shared" si="206"/>
        <v>2.205E-2</v>
      </c>
      <c r="BM131" s="548"/>
      <c r="BO131" s="474">
        <f t="shared" si="207"/>
        <v>44.1</v>
      </c>
      <c r="BP131" s="548">
        <f t="shared" si="208"/>
        <v>0</v>
      </c>
      <c r="BQ131" s="548">
        <f t="shared" si="209"/>
        <v>0</v>
      </c>
      <c r="BR131" s="548">
        <f t="shared" si="210"/>
        <v>4.131945001530456E-3</v>
      </c>
      <c r="BS131" s="548">
        <f t="shared" si="211"/>
        <v>7.8779767900822775E-3</v>
      </c>
      <c r="BT131" s="658">
        <f t="shared" si="212"/>
        <v>8.4525000000000017E-2</v>
      </c>
      <c r="BU131" s="474">
        <f t="shared" si="213"/>
        <v>96.534921791612746</v>
      </c>
      <c r="BV131" s="181">
        <f t="shared" si="214"/>
        <v>0.21269190952381989</v>
      </c>
      <c r="BW131" s="6">
        <f t="shared" si="215"/>
        <v>1.4490000000000001</v>
      </c>
      <c r="BX131" s="181">
        <f t="shared" si="216"/>
        <v>0.87200280129860552</v>
      </c>
      <c r="BY131" s="6">
        <f t="shared" si="217"/>
        <v>87.200280129860559</v>
      </c>
      <c r="BZ131">
        <f t="shared" si="218"/>
        <v>21.000000000000004</v>
      </c>
      <c r="CB131" s="583">
        <f t="shared" si="219"/>
        <v>-50</v>
      </c>
      <c r="CC131">
        <f t="shared" si="220"/>
        <v>-50</v>
      </c>
    </row>
    <row r="132" spans="5:81" x14ac:dyDescent="0.2">
      <c r="E132" s="178">
        <v>22</v>
      </c>
      <c r="F132" s="225">
        <f t="shared" si="221"/>
        <v>6.6000000000000003E-2</v>
      </c>
      <c r="G132" s="225">
        <f t="shared" si="160"/>
        <v>6.6000000000000003E-2</v>
      </c>
      <c r="H132" s="225">
        <f t="shared" si="161"/>
        <v>0.99</v>
      </c>
      <c r="I132" s="225">
        <f t="shared" si="162"/>
        <v>0.52800000000000002</v>
      </c>
      <c r="J132" s="561">
        <f t="shared" si="163"/>
        <v>7</v>
      </c>
      <c r="K132" s="456">
        <f t="shared" si="164"/>
        <v>15.25</v>
      </c>
      <c r="L132" s="456">
        <f t="shared" si="165"/>
        <v>22.25</v>
      </c>
      <c r="M132" s="456"/>
      <c r="N132" s="225">
        <f t="shared" si="166"/>
        <v>0.6853932584269663</v>
      </c>
      <c r="O132" s="180">
        <f t="shared" si="167"/>
        <v>2.0416524181729359</v>
      </c>
      <c r="P132" s="180">
        <f t="shared" si="168"/>
        <v>1.6696179775280899</v>
      </c>
      <c r="Q132" s="225">
        <f t="shared" si="169"/>
        <v>0.13611016121152905</v>
      </c>
      <c r="R132" s="225">
        <f t="shared" si="170"/>
        <v>0.25520655227161698</v>
      </c>
      <c r="S132" s="225">
        <f t="shared" si="171"/>
        <v>15</v>
      </c>
      <c r="T132" s="225">
        <f t="shared" si="172"/>
        <v>0.70310694769711168</v>
      </c>
      <c r="U132" s="225">
        <f t="shared" si="173"/>
        <v>4.0177539868406384</v>
      </c>
      <c r="V132" s="225">
        <f t="shared" si="174"/>
        <v>1.8442149447793095</v>
      </c>
      <c r="W132" s="205">
        <f t="shared" si="175"/>
        <v>350</v>
      </c>
      <c r="X132" s="456">
        <f t="shared" si="176"/>
        <v>170.59114636481894</v>
      </c>
      <c r="Z132" s="225">
        <f t="shared" si="177"/>
        <v>0.34269662921348309</v>
      </c>
      <c r="AA132" s="181">
        <f t="shared" si="178"/>
        <v>0.89887640449438189</v>
      </c>
      <c r="AB132" s="181">
        <f t="shared" si="179"/>
        <v>3.5156957564646527E-2</v>
      </c>
      <c r="AC132" s="181"/>
      <c r="AD132" s="181">
        <f t="shared" si="180"/>
        <v>0.76065573770491812</v>
      </c>
      <c r="AE132" s="565">
        <f t="shared" si="181"/>
        <v>598.39476813317481</v>
      </c>
      <c r="AF132" s="548">
        <f t="shared" si="182"/>
        <v>3.8603278688524589E-2</v>
      </c>
      <c r="AH132" s="181">
        <f t="shared" si="183"/>
        <v>0.46567922742714524</v>
      </c>
      <c r="AI132" s="181">
        <f t="shared" si="184"/>
        <v>0.70310694769711168</v>
      </c>
      <c r="AJ132" s="181">
        <f t="shared" si="185"/>
        <v>1.506005146442305</v>
      </c>
      <c r="AL132" s="565">
        <f t="shared" si="186"/>
        <v>66</v>
      </c>
      <c r="AM132" s="474">
        <f t="shared" si="187"/>
        <v>170.59114636481894</v>
      </c>
      <c r="AO132" s="474">
        <f t="shared" si="188"/>
        <v>66</v>
      </c>
      <c r="AP132" s="474">
        <f t="shared" si="189"/>
        <v>170.59114636481894</v>
      </c>
      <c r="AR132" s="6">
        <f t="shared" si="140"/>
        <v>5.8619689316199493</v>
      </c>
      <c r="AS132" s="6">
        <f t="shared" si="222"/>
        <v>4.0177539868406384</v>
      </c>
      <c r="AT132" s="6">
        <f t="shared" si="223"/>
        <v>1.8442149447793108</v>
      </c>
      <c r="AU132" s="181">
        <f t="shared" si="224"/>
        <v>0.68539325842696608</v>
      </c>
      <c r="AW132" s="6">
        <f t="shared" si="193"/>
        <v>1.7678117542098812</v>
      </c>
      <c r="AX132" s="6">
        <f t="shared" si="194"/>
        <v>3.314647039143527</v>
      </c>
      <c r="AY132" s="6">
        <f t="shared" si="195"/>
        <v>0.48300867601362885</v>
      </c>
      <c r="AZ132" s="6"/>
      <c r="BA132" s="181">
        <f t="shared" si="196"/>
        <v>0.33607071985102599</v>
      </c>
      <c r="BB132" s="181">
        <f t="shared" si="197"/>
        <v>0.22769042848890869</v>
      </c>
      <c r="BC132" s="181">
        <f t="shared" si="198"/>
        <v>0.224470563843611</v>
      </c>
      <c r="BD132" s="181"/>
      <c r="BE132" s="548">
        <f t="shared" si="199"/>
        <v>3.9530235059415372E-2</v>
      </c>
      <c r="BF132" s="548">
        <f t="shared" si="200"/>
        <v>2.6687499999999996E-2</v>
      </c>
      <c r="BG132" s="548">
        <f t="shared" si="201"/>
        <v>2.1323893295602369E-3</v>
      </c>
      <c r="BH132" s="548">
        <f t="shared" si="202"/>
        <v>4.8560635653409068E-3</v>
      </c>
      <c r="BI132">
        <f t="shared" si="203"/>
        <v>2.0300000000000001E-3</v>
      </c>
      <c r="BJ132" s="474">
        <f t="shared" si="204"/>
        <v>75.236187954316506</v>
      </c>
      <c r="BK132" s="181">
        <f t="shared" si="205"/>
        <v>2.3099999999999999E-2</v>
      </c>
      <c r="BL132" s="181">
        <f t="shared" si="206"/>
        <v>2.3099999999999999E-2</v>
      </c>
      <c r="BM132" s="548"/>
      <c r="BO132" s="474">
        <f t="shared" si="207"/>
        <v>46.199999999999996</v>
      </c>
      <c r="BP132" s="548">
        <f t="shared" si="208"/>
        <v>0</v>
      </c>
      <c r="BQ132" s="548">
        <f t="shared" si="209"/>
        <v>0</v>
      </c>
      <c r="BR132" s="548">
        <f t="shared" si="210"/>
        <v>4.5348330629041778E-3</v>
      </c>
      <c r="BS132" s="548">
        <f t="shared" si="211"/>
        <v>7.8779767900822775E-3</v>
      </c>
      <c r="BT132" s="658">
        <f t="shared" si="212"/>
        <v>8.8550000000000004E-2</v>
      </c>
      <c r="BU132" s="474">
        <f t="shared" si="213"/>
        <v>100.96280985298645</v>
      </c>
      <c r="BV132" s="181">
        <f t="shared" si="214"/>
        <v>0.22239899780730299</v>
      </c>
      <c r="BW132" s="6">
        <f t="shared" si="215"/>
        <v>1.518</v>
      </c>
      <c r="BX132" s="181">
        <f t="shared" si="216"/>
        <v>0.87221378655842752</v>
      </c>
      <c r="BY132" s="6">
        <f t="shared" si="217"/>
        <v>87.221378655842756</v>
      </c>
      <c r="BZ132">
        <f t="shared" si="218"/>
        <v>22.000000000000004</v>
      </c>
      <c r="CB132" s="583">
        <f t="shared" si="219"/>
        <v>-50</v>
      </c>
      <c r="CC132">
        <f t="shared" si="220"/>
        <v>-50</v>
      </c>
    </row>
    <row r="133" spans="5:81" x14ac:dyDescent="0.2">
      <c r="E133" s="178">
        <v>23</v>
      </c>
      <c r="F133" s="225">
        <f t="shared" si="221"/>
        <v>6.9000000000000006E-2</v>
      </c>
      <c r="G133" s="225">
        <f t="shared" si="160"/>
        <v>6.9000000000000006E-2</v>
      </c>
      <c r="H133" s="225">
        <f t="shared" si="161"/>
        <v>1.0350000000000001</v>
      </c>
      <c r="I133" s="225">
        <f t="shared" si="162"/>
        <v>0.55200000000000005</v>
      </c>
      <c r="J133" s="561">
        <f t="shared" si="163"/>
        <v>7</v>
      </c>
      <c r="K133" s="456">
        <f t="shared" si="164"/>
        <v>15.25</v>
      </c>
      <c r="L133" s="456">
        <f t="shared" si="165"/>
        <v>22.25</v>
      </c>
      <c r="M133" s="456"/>
      <c r="N133" s="225">
        <f t="shared" si="166"/>
        <v>0.6853932584269663</v>
      </c>
      <c r="O133" s="180">
        <f t="shared" si="167"/>
        <v>2.0416524181729359</v>
      </c>
      <c r="P133" s="180">
        <f t="shared" si="168"/>
        <v>1.6696179775280899</v>
      </c>
      <c r="Q133" s="225">
        <f t="shared" si="169"/>
        <v>0.13611016121152905</v>
      </c>
      <c r="R133" s="225">
        <f t="shared" si="170"/>
        <v>0.25520655227161698</v>
      </c>
      <c r="S133" s="225">
        <f t="shared" si="171"/>
        <v>15</v>
      </c>
      <c r="T133" s="225">
        <f t="shared" si="172"/>
        <v>0.73506635441061685</v>
      </c>
      <c r="U133" s="225">
        <f t="shared" si="173"/>
        <v>4.2003791680606684</v>
      </c>
      <c r="V133" s="225">
        <f t="shared" si="174"/>
        <v>1.9280428968147327</v>
      </c>
      <c r="W133" s="205">
        <f t="shared" si="175"/>
        <v>350</v>
      </c>
      <c r="X133" s="456">
        <f t="shared" si="176"/>
        <v>163.17414000113115</v>
      </c>
      <c r="Z133" s="225">
        <f t="shared" si="177"/>
        <v>0.34269662921348309</v>
      </c>
      <c r="AA133" s="181">
        <f t="shared" si="178"/>
        <v>0.89887640449438189</v>
      </c>
      <c r="AB133" s="181">
        <f t="shared" si="179"/>
        <v>3.5156957564646527E-2</v>
      </c>
      <c r="AC133" s="181"/>
      <c r="AD133" s="181">
        <f t="shared" si="180"/>
        <v>0.76065573770491812</v>
      </c>
      <c r="AE133" s="565">
        <f t="shared" si="181"/>
        <v>625.59453032104636</v>
      </c>
      <c r="AF133" s="548">
        <f t="shared" si="182"/>
        <v>3.8603278688524589E-2</v>
      </c>
      <c r="AH133" s="181">
        <f t="shared" si="183"/>
        <v>0.47614523594622438</v>
      </c>
      <c r="AI133" s="181">
        <f t="shared" si="184"/>
        <v>0.73506635441061685</v>
      </c>
      <c r="AJ133" s="181">
        <f t="shared" si="185"/>
        <v>1.5296787810449013</v>
      </c>
      <c r="AL133" s="565">
        <f t="shared" si="186"/>
        <v>69</v>
      </c>
      <c r="AM133" s="474">
        <f t="shared" si="187"/>
        <v>163.17414000113115</v>
      </c>
      <c r="AO133" s="474">
        <f t="shared" si="188"/>
        <v>69</v>
      </c>
      <c r="AP133" s="474">
        <f t="shared" si="189"/>
        <v>163.17414000113115</v>
      </c>
      <c r="AR133" s="6">
        <f t="shared" si="140"/>
        <v>6.1284220648754015</v>
      </c>
      <c r="AS133" s="6">
        <f t="shared" si="222"/>
        <v>4.2003791680606684</v>
      </c>
      <c r="AT133" s="6">
        <f t="shared" si="223"/>
        <v>1.9280428968147332</v>
      </c>
      <c r="AU133" s="181">
        <f t="shared" si="224"/>
        <v>0.6853932584269663</v>
      </c>
      <c r="AW133" s="6">
        <f t="shared" si="193"/>
        <v>1.9321744173079076</v>
      </c>
      <c r="AX133" s="6">
        <f t="shared" si="194"/>
        <v>3.6228270324523266</v>
      </c>
      <c r="AY133" s="6">
        <f t="shared" si="195"/>
        <v>0.52791650746117691</v>
      </c>
      <c r="AZ133" s="6"/>
      <c r="BA133" s="181">
        <f t="shared" si="196"/>
        <v>0.35134666166243639</v>
      </c>
      <c r="BB133" s="181">
        <f t="shared" si="197"/>
        <v>0.2380399934202227</v>
      </c>
      <c r="BC133" s="181">
        <f t="shared" si="198"/>
        <v>0.23467377129104783</v>
      </c>
      <c r="BD133" s="181"/>
      <c r="BE133" s="548">
        <f t="shared" si="199"/>
        <v>4.3205566831468492E-2</v>
      </c>
      <c r="BF133" s="548">
        <f t="shared" si="200"/>
        <v>2.6687499999999996E-2</v>
      </c>
      <c r="BG133" s="548">
        <f t="shared" si="201"/>
        <v>2.0396767500141396E-3</v>
      </c>
      <c r="BH133" s="548">
        <f t="shared" si="202"/>
        <v>4.6449303668478241E-3</v>
      </c>
      <c r="BI133">
        <f t="shared" si="203"/>
        <v>2.0300000000000001E-3</v>
      </c>
      <c r="BJ133" s="474">
        <f t="shared" si="204"/>
        <v>78.607673948330444</v>
      </c>
      <c r="BK133" s="181">
        <f t="shared" si="205"/>
        <v>2.4150000000000001E-2</v>
      </c>
      <c r="BL133" s="181">
        <f t="shared" si="206"/>
        <v>2.4150000000000001E-2</v>
      </c>
      <c r="BM133" s="548"/>
      <c r="BO133" s="474">
        <f t="shared" si="207"/>
        <v>48.300000000000004</v>
      </c>
      <c r="BP133" s="548">
        <f t="shared" si="208"/>
        <v>0</v>
      </c>
      <c r="BQ133" s="548">
        <f t="shared" si="209"/>
        <v>0</v>
      </c>
      <c r="BR133" s="548">
        <f t="shared" si="210"/>
        <v>4.9564601038766722E-3</v>
      </c>
      <c r="BS133" s="548">
        <f t="shared" si="211"/>
        <v>7.8779767900822861E-3</v>
      </c>
      <c r="BT133" s="658">
        <f t="shared" si="212"/>
        <v>9.2575000000000018E-2</v>
      </c>
      <c r="BU133" s="474">
        <f t="shared" si="213"/>
        <v>105.40943689395897</v>
      </c>
      <c r="BV133" s="181">
        <f t="shared" si="214"/>
        <v>0.23231711084228943</v>
      </c>
      <c r="BW133" s="6">
        <f t="shared" si="215"/>
        <v>1.5870000000000002</v>
      </c>
      <c r="BX133" s="181">
        <f t="shared" si="216"/>
        <v>0.87230532299301378</v>
      </c>
      <c r="BY133" s="6">
        <f t="shared" si="217"/>
        <v>87.230532299301373</v>
      </c>
      <c r="BZ133">
        <f t="shared" si="218"/>
        <v>23.000000000000004</v>
      </c>
      <c r="CB133" s="583">
        <f t="shared" si="219"/>
        <v>-50</v>
      </c>
      <c r="CC133">
        <f t="shared" si="220"/>
        <v>-50</v>
      </c>
    </row>
    <row r="134" spans="5:81" x14ac:dyDescent="0.2">
      <c r="E134" s="178">
        <v>24</v>
      </c>
      <c r="F134" s="225">
        <f t="shared" si="221"/>
        <v>7.1999999999999995E-2</v>
      </c>
      <c r="G134" s="225">
        <f t="shared" si="160"/>
        <v>7.1999999999999995E-2</v>
      </c>
      <c r="H134" s="225">
        <f t="shared" si="161"/>
        <v>1.0799999999999998</v>
      </c>
      <c r="I134" s="225">
        <f t="shared" si="162"/>
        <v>0.57599999999999996</v>
      </c>
      <c r="J134" s="561">
        <f t="shared" si="163"/>
        <v>7</v>
      </c>
      <c r="K134" s="456">
        <f t="shared" si="164"/>
        <v>15.25</v>
      </c>
      <c r="L134" s="456">
        <f t="shared" si="165"/>
        <v>22.25</v>
      </c>
      <c r="M134" s="456"/>
      <c r="N134" s="225">
        <f t="shared" si="166"/>
        <v>0.6853932584269663</v>
      </c>
      <c r="O134" s="180">
        <f t="shared" si="167"/>
        <v>2.0416524181729359</v>
      </c>
      <c r="P134" s="180">
        <f t="shared" si="168"/>
        <v>1.6696179775280899</v>
      </c>
      <c r="Q134" s="225">
        <f t="shared" si="169"/>
        <v>0.13611016121152905</v>
      </c>
      <c r="R134" s="225">
        <f t="shared" si="170"/>
        <v>0.25520655227161698</v>
      </c>
      <c r="S134" s="225">
        <f t="shared" si="171"/>
        <v>15</v>
      </c>
      <c r="T134" s="225">
        <f t="shared" si="172"/>
        <v>0.76702576112412169</v>
      </c>
      <c r="U134" s="225">
        <f t="shared" si="173"/>
        <v>4.3830043492806956</v>
      </c>
      <c r="V134" s="225">
        <f t="shared" si="174"/>
        <v>2.0118708488501555</v>
      </c>
      <c r="W134" s="205">
        <f t="shared" si="175"/>
        <v>350</v>
      </c>
      <c r="X134" s="456">
        <f t="shared" si="176"/>
        <v>156.37521750108408</v>
      </c>
      <c r="Z134" s="225">
        <f t="shared" si="177"/>
        <v>0.34269662921348309</v>
      </c>
      <c r="AA134" s="181">
        <f t="shared" si="178"/>
        <v>0.89887640449438189</v>
      </c>
      <c r="AB134" s="181">
        <f t="shared" si="179"/>
        <v>3.5156957564646527E-2</v>
      </c>
      <c r="AC134" s="181"/>
      <c r="AD134" s="181">
        <f t="shared" si="180"/>
        <v>0.76065573770491812</v>
      </c>
      <c r="AE134" s="565">
        <f t="shared" si="181"/>
        <v>652.79429250891781</v>
      </c>
      <c r="AF134" s="548">
        <f t="shared" si="182"/>
        <v>3.8603278688524589E-2</v>
      </c>
      <c r="AH134" s="181">
        <f t="shared" si="183"/>
        <v>0.48638609002666644</v>
      </c>
      <c r="AI134" s="181">
        <f t="shared" si="184"/>
        <v>0.76702576112412169</v>
      </c>
      <c r="AJ134" s="181">
        <f t="shared" si="185"/>
        <v>1.5533524156474976</v>
      </c>
      <c r="AL134" s="565">
        <f t="shared" si="186"/>
        <v>72</v>
      </c>
      <c r="AM134" s="474">
        <f t="shared" si="187"/>
        <v>156.37521750108408</v>
      </c>
      <c r="AO134" s="474">
        <f t="shared" si="188"/>
        <v>72</v>
      </c>
      <c r="AP134" s="474">
        <f t="shared" si="189"/>
        <v>156.37521750108408</v>
      </c>
      <c r="AR134" s="6">
        <f t="shared" ref="AR134:AR197" si="225">1/AM134*1000</f>
        <v>6.3948751981308511</v>
      </c>
      <c r="AS134" s="6">
        <f t="shared" si="222"/>
        <v>4.3830043492806956</v>
      </c>
      <c r="AT134" s="6">
        <f t="shared" si="223"/>
        <v>2.0118708488501555</v>
      </c>
      <c r="AU134" s="181">
        <f t="shared" si="224"/>
        <v>0.6853932584269663</v>
      </c>
      <c r="AW134" s="6">
        <f t="shared" si="193"/>
        <v>2.1038420876547335</v>
      </c>
      <c r="AX134" s="6">
        <f t="shared" si="194"/>
        <v>3.9447039143526257</v>
      </c>
      <c r="AY134" s="6">
        <f t="shared" si="195"/>
        <v>0.57482024252861563</v>
      </c>
      <c r="AZ134" s="6"/>
      <c r="BA134" s="181">
        <f t="shared" si="196"/>
        <v>0.36662260347384651</v>
      </c>
      <c r="BB134" s="181">
        <f t="shared" si="197"/>
        <v>0.24838955835153664</v>
      </c>
      <c r="BC134" s="181">
        <f t="shared" si="198"/>
        <v>0.2448769787384846</v>
      </c>
      <c r="BD134" s="181"/>
      <c r="BE134" s="548">
        <f t="shared" si="199"/>
        <v>4.7044246682279446E-2</v>
      </c>
      <c r="BF134" s="548">
        <f t="shared" si="200"/>
        <v>2.6687499999999999E-2</v>
      </c>
      <c r="BG134" s="548">
        <f t="shared" si="201"/>
        <v>1.9546902187635509E-3</v>
      </c>
      <c r="BH134" s="548">
        <f t="shared" si="202"/>
        <v>4.4513916015625002E-3</v>
      </c>
      <c r="BI134">
        <f t="shared" si="203"/>
        <v>2.0300000000000001E-3</v>
      </c>
      <c r="BJ134" s="474">
        <f t="shared" si="204"/>
        <v>82.167828502605488</v>
      </c>
      <c r="BK134" s="181">
        <f t="shared" si="205"/>
        <v>2.5199999999999997E-2</v>
      </c>
      <c r="BL134" s="181">
        <f t="shared" si="206"/>
        <v>2.5199999999999997E-2</v>
      </c>
      <c r="BM134" s="548"/>
      <c r="BO134" s="474">
        <f t="shared" si="207"/>
        <v>50.399999999999991</v>
      </c>
      <c r="BP134" s="548">
        <f t="shared" si="208"/>
        <v>0</v>
      </c>
      <c r="BQ134" s="548">
        <f t="shared" si="209"/>
        <v>0</v>
      </c>
      <c r="BR134" s="548">
        <f t="shared" si="210"/>
        <v>5.3968261244479419E-3</v>
      </c>
      <c r="BS134" s="548">
        <f t="shared" si="211"/>
        <v>7.8779767900822844E-3</v>
      </c>
      <c r="BT134" s="658">
        <f t="shared" si="212"/>
        <v>9.6599999999999991E-2</v>
      </c>
      <c r="BU134" s="474">
        <f t="shared" si="213"/>
        <v>109.87480291453022</v>
      </c>
      <c r="BV134" s="181">
        <f t="shared" si="214"/>
        <v>0.24244263141713571</v>
      </c>
      <c r="BW134" s="6">
        <f t="shared" si="215"/>
        <v>1.6559999999999997</v>
      </c>
      <c r="BX134" s="181">
        <f t="shared" si="216"/>
        <v>0.8722939385130859</v>
      </c>
      <c r="BY134" s="6">
        <f t="shared" si="217"/>
        <v>87.229393851308586</v>
      </c>
      <c r="BZ134">
        <f t="shared" si="218"/>
        <v>24</v>
      </c>
      <c r="CB134" s="583">
        <f t="shared" si="219"/>
        <v>-50</v>
      </c>
      <c r="CC134">
        <f t="shared" si="220"/>
        <v>-50</v>
      </c>
    </row>
    <row r="135" spans="5:81" x14ac:dyDescent="0.2">
      <c r="E135" s="178">
        <v>25</v>
      </c>
      <c r="F135" s="225">
        <f t="shared" si="221"/>
        <v>7.4999999999999997E-2</v>
      </c>
      <c r="G135" s="225">
        <f t="shared" si="160"/>
        <v>7.4999999999999997E-2</v>
      </c>
      <c r="H135" s="225">
        <f t="shared" si="161"/>
        <v>1.125</v>
      </c>
      <c r="I135" s="225">
        <f t="shared" si="162"/>
        <v>0.6</v>
      </c>
      <c r="J135" s="561">
        <f t="shared" si="163"/>
        <v>7</v>
      </c>
      <c r="K135" s="456">
        <f t="shared" si="164"/>
        <v>15.25</v>
      </c>
      <c r="L135" s="456">
        <f t="shared" si="165"/>
        <v>22.25</v>
      </c>
      <c r="M135" s="456"/>
      <c r="N135" s="225">
        <f t="shared" si="166"/>
        <v>0.6853932584269663</v>
      </c>
      <c r="O135" s="180">
        <f t="shared" si="167"/>
        <v>2.0416524181729359</v>
      </c>
      <c r="P135" s="180">
        <f t="shared" si="168"/>
        <v>1.6696179775280899</v>
      </c>
      <c r="Q135" s="225">
        <f t="shared" si="169"/>
        <v>0.13611016121152905</v>
      </c>
      <c r="R135" s="225">
        <f t="shared" si="170"/>
        <v>0.25520655227161698</v>
      </c>
      <c r="S135" s="225">
        <f t="shared" si="171"/>
        <v>15</v>
      </c>
      <c r="T135" s="225">
        <f t="shared" si="172"/>
        <v>0.79898516783762696</v>
      </c>
      <c r="U135" s="225">
        <f t="shared" si="173"/>
        <v>4.5656295305007264</v>
      </c>
      <c r="V135" s="225">
        <f t="shared" si="174"/>
        <v>2.0956988008855792</v>
      </c>
      <c r="W135" s="205">
        <f t="shared" si="175"/>
        <v>350</v>
      </c>
      <c r="X135" s="456">
        <f t="shared" si="176"/>
        <v>150.12020880104066</v>
      </c>
      <c r="Z135" s="225">
        <f t="shared" si="177"/>
        <v>0.34269662921348309</v>
      </c>
      <c r="AA135" s="181">
        <f t="shared" si="178"/>
        <v>0.89887640449438189</v>
      </c>
      <c r="AB135" s="181">
        <f t="shared" si="179"/>
        <v>3.5156957564646527E-2</v>
      </c>
      <c r="AC135" s="181"/>
      <c r="AD135" s="181">
        <f t="shared" si="180"/>
        <v>0.76065573770491812</v>
      </c>
      <c r="AE135" s="565">
        <f t="shared" si="181"/>
        <v>679.99405469678948</v>
      </c>
      <c r="AF135" s="548">
        <f t="shared" si="182"/>
        <v>3.8603278688524589E-2</v>
      </c>
      <c r="AH135" s="181">
        <f t="shared" si="183"/>
        <v>0.49641572439697296</v>
      </c>
      <c r="AI135" s="181">
        <f t="shared" si="184"/>
        <v>0.79898516783762696</v>
      </c>
      <c r="AJ135" s="181">
        <f t="shared" si="185"/>
        <v>1.5770260502500939</v>
      </c>
      <c r="AL135" s="565">
        <f t="shared" si="186"/>
        <v>75</v>
      </c>
      <c r="AM135" s="474">
        <f t="shared" si="187"/>
        <v>150.12020880104066</v>
      </c>
      <c r="AO135" s="474">
        <f t="shared" si="188"/>
        <v>75</v>
      </c>
      <c r="AP135" s="474">
        <f t="shared" si="189"/>
        <v>150.12020880104066</v>
      </c>
      <c r="AR135" s="6">
        <f t="shared" si="225"/>
        <v>6.6613283313863061</v>
      </c>
      <c r="AS135" s="6">
        <f t="shared" si="222"/>
        <v>4.5656295305007264</v>
      </c>
      <c r="AT135" s="6">
        <f t="shared" si="223"/>
        <v>2.0956988008855797</v>
      </c>
      <c r="AU135" s="181">
        <f t="shared" si="224"/>
        <v>0.6853932584269663</v>
      </c>
      <c r="AW135" s="6">
        <f t="shared" si="193"/>
        <v>2.2828147652503632</v>
      </c>
      <c r="AX135" s="6">
        <f t="shared" si="194"/>
        <v>4.2802776848444308</v>
      </c>
      <c r="AY135" s="6">
        <f t="shared" si="195"/>
        <v>0.62371988121594624</v>
      </c>
      <c r="AZ135" s="6"/>
      <c r="BA135" s="181">
        <f t="shared" si="196"/>
        <v>0.38189854528525691</v>
      </c>
      <c r="BB135" s="181">
        <f t="shared" si="197"/>
        <v>0.2587391232828507</v>
      </c>
      <c r="BC135" s="181">
        <f t="shared" si="198"/>
        <v>0.25508018618592149</v>
      </c>
      <c r="BD135" s="181"/>
      <c r="BE135" s="548">
        <f t="shared" si="199"/>
        <v>5.1046274611848387E-2</v>
      </c>
      <c r="BF135" s="548">
        <f t="shared" si="200"/>
        <v>2.6687499999999996E-2</v>
      </c>
      <c r="BG135" s="548">
        <f t="shared" si="201"/>
        <v>1.8765026100130081E-3</v>
      </c>
      <c r="BH135" s="548">
        <f t="shared" si="202"/>
        <v>4.2733359374999983E-3</v>
      </c>
      <c r="BI135">
        <f t="shared" si="203"/>
        <v>2.0300000000000001E-3</v>
      </c>
      <c r="BJ135" s="474">
        <f t="shared" si="204"/>
        <v>85.913613159361404</v>
      </c>
      <c r="BK135" s="181">
        <f t="shared" si="205"/>
        <v>2.6249999999999999E-2</v>
      </c>
      <c r="BL135" s="181">
        <f t="shared" si="206"/>
        <v>2.6249999999999999E-2</v>
      </c>
      <c r="BM135" s="548"/>
      <c r="BO135" s="474">
        <f t="shared" si="207"/>
        <v>52.5</v>
      </c>
      <c r="BP135" s="548">
        <f t="shared" si="208"/>
        <v>0</v>
      </c>
      <c r="BQ135" s="548">
        <f t="shared" si="209"/>
        <v>0</v>
      </c>
      <c r="BR135" s="548">
        <f t="shared" si="210"/>
        <v>5.855931124617993E-3</v>
      </c>
      <c r="BS135" s="548">
        <f t="shared" si="211"/>
        <v>7.8779767900822861E-3</v>
      </c>
      <c r="BT135" s="658">
        <f t="shared" si="212"/>
        <v>0.10062500000000002</v>
      </c>
      <c r="BU135" s="474">
        <f t="shared" si="213"/>
        <v>114.3589079147003</v>
      </c>
      <c r="BV135" s="181">
        <f t="shared" si="214"/>
        <v>0.25277252107406167</v>
      </c>
      <c r="BW135" s="6">
        <f t="shared" si="215"/>
        <v>1.7250000000000001</v>
      </c>
      <c r="BX135" s="181">
        <f t="shared" si="216"/>
        <v>0.87219332942456429</v>
      </c>
      <c r="BY135" s="6">
        <f t="shared" si="217"/>
        <v>87.219332942456433</v>
      </c>
      <c r="BZ135">
        <f t="shared" si="218"/>
        <v>25</v>
      </c>
      <c r="CB135" s="583">
        <f t="shared" si="219"/>
        <v>-50</v>
      </c>
      <c r="CC135">
        <f t="shared" si="220"/>
        <v>-50</v>
      </c>
    </row>
    <row r="136" spans="5:81" x14ac:dyDescent="0.2">
      <c r="E136" s="178">
        <v>26</v>
      </c>
      <c r="F136" s="225">
        <f t="shared" si="221"/>
        <v>7.8E-2</v>
      </c>
      <c r="G136" s="225">
        <f t="shared" si="160"/>
        <v>7.8E-2</v>
      </c>
      <c r="H136" s="225">
        <f t="shared" si="161"/>
        <v>1.17</v>
      </c>
      <c r="I136" s="225">
        <f t="shared" si="162"/>
        <v>0.624</v>
      </c>
      <c r="J136" s="561">
        <f t="shared" si="163"/>
        <v>7</v>
      </c>
      <c r="K136" s="456">
        <f t="shared" si="164"/>
        <v>15.25</v>
      </c>
      <c r="L136" s="456">
        <f t="shared" si="165"/>
        <v>22.25</v>
      </c>
      <c r="M136" s="456"/>
      <c r="N136" s="225">
        <f t="shared" si="166"/>
        <v>0.6853932584269663</v>
      </c>
      <c r="O136" s="180">
        <f t="shared" si="167"/>
        <v>2.0416524181729359</v>
      </c>
      <c r="P136" s="180">
        <f t="shared" si="168"/>
        <v>1.6696179775280899</v>
      </c>
      <c r="Q136" s="225">
        <f t="shared" si="169"/>
        <v>0.13611016121152905</v>
      </c>
      <c r="R136" s="225">
        <f t="shared" si="170"/>
        <v>0.25520655227161698</v>
      </c>
      <c r="S136" s="225">
        <f t="shared" si="171"/>
        <v>15</v>
      </c>
      <c r="T136" s="225">
        <f t="shared" si="172"/>
        <v>0.83094457455113202</v>
      </c>
      <c r="U136" s="225">
        <f t="shared" si="173"/>
        <v>4.7482547117207545</v>
      </c>
      <c r="V136" s="225">
        <f t="shared" si="174"/>
        <v>2.1795267529210025</v>
      </c>
      <c r="W136" s="205">
        <f t="shared" si="175"/>
        <v>350</v>
      </c>
      <c r="X136" s="456">
        <f t="shared" si="176"/>
        <v>144.34635461638527</v>
      </c>
      <c r="Z136" s="225">
        <f t="shared" si="177"/>
        <v>0.34269662921348309</v>
      </c>
      <c r="AA136" s="181">
        <f t="shared" si="178"/>
        <v>0.89887640449438189</v>
      </c>
      <c r="AB136" s="181">
        <f t="shared" si="179"/>
        <v>3.5156957564646527E-2</v>
      </c>
      <c r="AC136" s="181"/>
      <c r="AD136" s="181">
        <f t="shared" si="180"/>
        <v>0.76065573770491812</v>
      </c>
      <c r="AE136" s="565">
        <f t="shared" si="181"/>
        <v>707.19381688466115</v>
      </c>
      <c r="AF136" s="548">
        <f t="shared" si="182"/>
        <v>3.8603278688524589E-2</v>
      </c>
      <c r="AH136" s="181">
        <f t="shared" si="183"/>
        <v>0.50624669311089265</v>
      </c>
      <c r="AI136" s="181">
        <f t="shared" si="184"/>
        <v>0.83094457455113202</v>
      </c>
      <c r="AJ136" s="181">
        <f t="shared" si="185"/>
        <v>1.6006996848526904</v>
      </c>
      <c r="AL136" s="565">
        <f t="shared" si="186"/>
        <v>78</v>
      </c>
      <c r="AM136" s="474">
        <f t="shared" si="187"/>
        <v>144.34635461638527</v>
      </c>
      <c r="AO136" s="474">
        <f t="shared" si="188"/>
        <v>78</v>
      </c>
      <c r="AP136" s="474">
        <f t="shared" si="189"/>
        <v>144.34635461638527</v>
      </c>
      <c r="AR136" s="6">
        <f t="shared" si="225"/>
        <v>6.9277814646417575</v>
      </c>
      <c r="AS136" s="6">
        <f t="shared" si="222"/>
        <v>4.7482547117207545</v>
      </c>
      <c r="AT136" s="6">
        <f t="shared" si="223"/>
        <v>2.179526752921003</v>
      </c>
      <c r="AU136" s="181">
        <f t="shared" si="224"/>
        <v>0.68539325842696619</v>
      </c>
      <c r="AW136" s="6">
        <f t="shared" si="193"/>
        <v>2.4690924500947919</v>
      </c>
      <c r="AX136" s="6">
        <f t="shared" si="194"/>
        <v>4.6295483439277358</v>
      </c>
      <c r="AY136" s="6">
        <f t="shared" si="195"/>
        <v>0.67461542352316739</v>
      </c>
      <c r="AZ136" s="6"/>
      <c r="BA136" s="181">
        <f t="shared" si="196"/>
        <v>0.39717448709666714</v>
      </c>
      <c r="BB136" s="181">
        <f t="shared" si="197"/>
        <v>0.26908868821416482</v>
      </c>
      <c r="BC136" s="181">
        <f t="shared" si="198"/>
        <v>0.2652833936333584</v>
      </c>
      <c r="BD136" s="181"/>
      <c r="BE136" s="548">
        <f t="shared" si="199"/>
        <v>5.5211650620175211E-2</v>
      </c>
      <c r="BF136" s="548">
        <f t="shared" si="200"/>
        <v>2.6687499999999996E-2</v>
      </c>
      <c r="BG136" s="548">
        <f t="shared" si="201"/>
        <v>1.8043294327048157E-3</v>
      </c>
      <c r="BH136" s="548">
        <f t="shared" si="202"/>
        <v>4.1089768629807679E-3</v>
      </c>
      <c r="BI136">
        <f t="shared" si="203"/>
        <v>2.0300000000000001E-3</v>
      </c>
      <c r="BJ136" s="474">
        <f t="shared" si="204"/>
        <v>89.842456915860794</v>
      </c>
      <c r="BK136" s="181">
        <f t="shared" si="205"/>
        <v>2.7299999999999998E-2</v>
      </c>
      <c r="BL136" s="181">
        <f t="shared" si="206"/>
        <v>2.7299999999999998E-2</v>
      </c>
      <c r="BM136" s="548"/>
      <c r="BO136" s="474">
        <f t="shared" si="207"/>
        <v>54.599999999999994</v>
      </c>
      <c r="BP136" s="548">
        <f t="shared" si="208"/>
        <v>0</v>
      </c>
      <c r="BQ136" s="548">
        <f t="shared" si="209"/>
        <v>0</v>
      </c>
      <c r="BR136" s="548">
        <f t="shared" si="210"/>
        <v>6.3337751043868237E-3</v>
      </c>
      <c r="BS136" s="548">
        <f t="shared" si="211"/>
        <v>7.8779767900822844E-3</v>
      </c>
      <c r="BT136" s="658">
        <f t="shared" si="212"/>
        <v>0.10465000000000001</v>
      </c>
      <c r="BU136" s="474">
        <f t="shared" si="213"/>
        <v>118.86175189446911</v>
      </c>
      <c r="BV136" s="181">
        <f t="shared" si="214"/>
        <v>0.2633042088103299</v>
      </c>
      <c r="BW136" s="6">
        <f t="shared" si="215"/>
        <v>1.794</v>
      </c>
      <c r="BX136" s="181">
        <f t="shared" si="216"/>
        <v>0.87201493698270804</v>
      </c>
      <c r="BY136" s="6">
        <f t="shared" si="217"/>
        <v>87.201493698270809</v>
      </c>
      <c r="BZ136">
        <f t="shared" si="218"/>
        <v>26</v>
      </c>
      <c r="CB136" s="583">
        <f t="shared" si="219"/>
        <v>-50</v>
      </c>
      <c r="CC136">
        <f t="shared" si="220"/>
        <v>-50</v>
      </c>
    </row>
    <row r="137" spans="5:81" x14ac:dyDescent="0.2">
      <c r="E137" s="178">
        <v>27</v>
      </c>
      <c r="F137" s="225">
        <f t="shared" si="221"/>
        <v>8.1000000000000003E-2</v>
      </c>
      <c r="G137" s="225">
        <f t="shared" si="160"/>
        <v>8.1000000000000003E-2</v>
      </c>
      <c r="H137" s="225">
        <f t="shared" si="161"/>
        <v>1.2150000000000001</v>
      </c>
      <c r="I137" s="225">
        <f t="shared" si="162"/>
        <v>0.64800000000000002</v>
      </c>
      <c r="J137" s="561">
        <f t="shared" si="163"/>
        <v>7</v>
      </c>
      <c r="K137" s="456">
        <f t="shared" si="164"/>
        <v>15.25</v>
      </c>
      <c r="L137" s="456">
        <f t="shared" si="165"/>
        <v>22.25</v>
      </c>
      <c r="M137" s="456"/>
      <c r="N137" s="225">
        <f t="shared" si="166"/>
        <v>0.6853932584269663</v>
      </c>
      <c r="O137" s="180">
        <f t="shared" si="167"/>
        <v>2.0416524181729359</v>
      </c>
      <c r="P137" s="180">
        <f t="shared" si="168"/>
        <v>1.6696179775280899</v>
      </c>
      <c r="Q137" s="225">
        <f t="shared" si="169"/>
        <v>0.13611016121152905</v>
      </c>
      <c r="R137" s="225">
        <f t="shared" si="170"/>
        <v>0.25520655227161698</v>
      </c>
      <c r="S137" s="225">
        <f t="shared" si="171"/>
        <v>15</v>
      </c>
      <c r="T137" s="225">
        <f t="shared" si="172"/>
        <v>0.86290398126463708</v>
      </c>
      <c r="U137" s="225">
        <f t="shared" si="173"/>
        <v>4.9308798929407835</v>
      </c>
      <c r="V137" s="225">
        <f t="shared" si="174"/>
        <v>2.2633547049564249</v>
      </c>
      <c r="W137" s="205">
        <f t="shared" si="175"/>
        <v>350</v>
      </c>
      <c r="X137" s="456">
        <f t="shared" si="176"/>
        <v>139.00019333429694</v>
      </c>
      <c r="Z137" s="225">
        <f t="shared" si="177"/>
        <v>0.34269662921348309</v>
      </c>
      <c r="AA137" s="181">
        <f t="shared" si="178"/>
        <v>0.89887640449438189</v>
      </c>
      <c r="AB137" s="181">
        <f t="shared" si="179"/>
        <v>3.5156957564646527E-2</v>
      </c>
      <c r="AC137" s="181"/>
      <c r="AD137" s="181">
        <f t="shared" si="180"/>
        <v>0.76065573770491812</v>
      </c>
      <c r="AE137" s="565">
        <f t="shared" si="181"/>
        <v>734.3935790725327</v>
      </c>
      <c r="AF137" s="548">
        <f t="shared" si="182"/>
        <v>3.8603278688524589E-2</v>
      </c>
      <c r="AH137" s="181">
        <f t="shared" si="183"/>
        <v>0.51589035379899972</v>
      </c>
      <c r="AI137" s="181">
        <f t="shared" si="184"/>
        <v>0.86290398126463708</v>
      </c>
      <c r="AJ137" s="181">
        <f t="shared" si="185"/>
        <v>1.6243733194552867</v>
      </c>
      <c r="AL137" s="565">
        <f t="shared" si="186"/>
        <v>81</v>
      </c>
      <c r="AM137" s="474">
        <f t="shared" si="187"/>
        <v>139.00019333429694</v>
      </c>
      <c r="AO137" s="474">
        <f t="shared" si="188"/>
        <v>81</v>
      </c>
      <c r="AP137" s="474">
        <f t="shared" si="189"/>
        <v>139.00019333429694</v>
      </c>
      <c r="AR137" s="6">
        <f t="shared" si="225"/>
        <v>7.1942345978972089</v>
      </c>
      <c r="AS137" s="6">
        <f t="shared" si="222"/>
        <v>4.9308798929407835</v>
      </c>
      <c r="AT137" s="6">
        <f t="shared" si="223"/>
        <v>2.2633547049564253</v>
      </c>
      <c r="AU137" s="181">
        <f t="shared" si="224"/>
        <v>0.6853932584269663</v>
      </c>
      <c r="AW137" s="6">
        <f t="shared" si="193"/>
        <v>2.6626751421880233</v>
      </c>
      <c r="AX137" s="6">
        <f t="shared" si="194"/>
        <v>4.9925158916025429</v>
      </c>
      <c r="AY137" s="6">
        <f t="shared" si="195"/>
        <v>0.72750686945027954</v>
      </c>
      <c r="AZ137" s="6"/>
      <c r="BA137" s="181">
        <f t="shared" si="196"/>
        <v>0.41245042890807743</v>
      </c>
      <c r="BB137" s="181">
        <f t="shared" si="197"/>
        <v>0.27943825314547877</v>
      </c>
      <c r="BC137" s="181">
        <f t="shared" si="198"/>
        <v>0.2754866010807952</v>
      </c>
      <c r="BD137" s="181"/>
      <c r="BE137" s="548">
        <f t="shared" si="199"/>
        <v>5.9540374707259952E-2</v>
      </c>
      <c r="BF137" s="548">
        <f t="shared" si="200"/>
        <v>2.6687499999999996E-2</v>
      </c>
      <c r="BG137" s="548">
        <f t="shared" si="201"/>
        <v>1.7375024166787116E-3</v>
      </c>
      <c r="BH137" s="548">
        <f t="shared" si="202"/>
        <v>3.9567925347222211E-3</v>
      </c>
      <c r="BI137">
        <f t="shared" si="203"/>
        <v>2.0300000000000001E-3</v>
      </c>
      <c r="BJ137" s="474">
        <f t="shared" si="204"/>
        <v>93.952169658660893</v>
      </c>
      <c r="BK137" s="181">
        <f t="shared" si="205"/>
        <v>2.835E-2</v>
      </c>
      <c r="BL137" s="181">
        <f t="shared" si="206"/>
        <v>2.835E-2</v>
      </c>
      <c r="BM137" s="548"/>
      <c r="BO137" s="474">
        <f t="shared" si="207"/>
        <v>56.7</v>
      </c>
      <c r="BP137" s="548">
        <f t="shared" si="208"/>
        <v>0</v>
      </c>
      <c r="BQ137" s="548">
        <f t="shared" si="209"/>
        <v>0</v>
      </c>
      <c r="BR137" s="548">
        <f t="shared" si="210"/>
        <v>6.830358063754427E-3</v>
      </c>
      <c r="BS137" s="548">
        <f t="shared" si="211"/>
        <v>7.8779767900822809E-3</v>
      </c>
      <c r="BT137" s="658">
        <f t="shared" si="212"/>
        <v>0.10867500000000002</v>
      </c>
      <c r="BU137" s="474">
        <f t="shared" si="213"/>
        <v>123.38333485383673</v>
      </c>
      <c r="BV137" s="181">
        <f t="shared" si="214"/>
        <v>0.27403550451249764</v>
      </c>
      <c r="BW137" s="6">
        <f t="shared" si="215"/>
        <v>1.863</v>
      </c>
      <c r="BX137" s="181">
        <f t="shared" si="216"/>
        <v>0.8717683894657563</v>
      </c>
      <c r="BY137" s="6">
        <f t="shared" si="217"/>
        <v>87.176838946575629</v>
      </c>
      <c r="BZ137">
        <f t="shared" si="218"/>
        <v>27</v>
      </c>
      <c r="CB137" s="583">
        <f t="shared" si="219"/>
        <v>-50</v>
      </c>
      <c r="CC137">
        <f t="shared" si="220"/>
        <v>-50</v>
      </c>
    </row>
    <row r="138" spans="5:81" x14ac:dyDescent="0.2">
      <c r="E138" s="178">
        <v>28</v>
      </c>
      <c r="F138" s="225">
        <f t="shared" si="221"/>
        <v>8.4000000000000005E-2</v>
      </c>
      <c r="G138" s="225">
        <f t="shared" si="160"/>
        <v>8.4000000000000005E-2</v>
      </c>
      <c r="H138" s="225">
        <f t="shared" si="161"/>
        <v>1.26</v>
      </c>
      <c r="I138" s="225">
        <f t="shared" si="162"/>
        <v>0.67200000000000004</v>
      </c>
      <c r="J138" s="561">
        <f t="shared" si="163"/>
        <v>7</v>
      </c>
      <c r="K138" s="456">
        <f t="shared" si="164"/>
        <v>15.25</v>
      </c>
      <c r="L138" s="456">
        <f t="shared" si="165"/>
        <v>22.25</v>
      </c>
      <c r="M138" s="456"/>
      <c r="N138" s="225">
        <f t="shared" si="166"/>
        <v>0.6853932584269663</v>
      </c>
      <c r="O138" s="180">
        <f t="shared" si="167"/>
        <v>2.0416524181729359</v>
      </c>
      <c r="P138" s="180">
        <f t="shared" si="168"/>
        <v>1.6696179775280899</v>
      </c>
      <c r="Q138" s="225">
        <f t="shared" si="169"/>
        <v>0.13611016121152905</v>
      </c>
      <c r="R138" s="225">
        <f t="shared" si="170"/>
        <v>0.25520655227161698</v>
      </c>
      <c r="S138" s="225">
        <f t="shared" si="171"/>
        <v>15</v>
      </c>
      <c r="T138" s="225">
        <f t="shared" si="172"/>
        <v>0.89486338797814213</v>
      </c>
      <c r="U138" s="225">
        <f t="shared" si="173"/>
        <v>5.1135050741608135</v>
      </c>
      <c r="V138" s="225">
        <f t="shared" si="174"/>
        <v>2.3471826569918486</v>
      </c>
      <c r="W138" s="205">
        <f t="shared" si="175"/>
        <v>350</v>
      </c>
      <c r="X138" s="456">
        <f t="shared" si="176"/>
        <v>134.03590071521486</v>
      </c>
      <c r="Z138" s="225">
        <f t="shared" si="177"/>
        <v>0.34269662921348309</v>
      </c>
      <c r="AA138" s="181">
        <f t="shared" si="178"/>
        <v>0.89887640449438189</v>
      </c>
      <c r="AB138" s="181">
        <f t="shared" si="179"/>
        <v>3.5156957564646527E-2</v>
      </c>
      <c r="AC138" s="181"/>
      <c r="AD138" s="181">
        <f t="shared" si="180"/>
        <v>0.76065573770491812</v>
      </c>
      <c r="AE138" s="565">
        <f t="shared" si="181"/>
        <v>761.59334126040437</v>
      </c>
      <c r="AF138" s="548">
        <f t="shared" si="182"/>
        <v>3.8603278688524589E-2</v>
      </c>
      <c r="AH138" s="181">
        <f t="shared" si="183"/>
        <v>0.52535702146254781</v>
      </c>
      <c r="AI138" s="181">
        <f t="shared" si="184"/>
        <v>0.89486338797814213</v>
      </c>
      <c r="AJ138" s="181">
        <f t="shared" si="185"/>
        <v>1.648046954057883</v>
      </c>
      <c r="AL138" s="565">
        <f t="shared" si="186"/>
        <v>84</v>
      </c>
      <c r="AM138" s="474">
        <f t="shared" si="187"/>
        <v>134.03590071521486</v>
      </c>
      <c r="AO138" s="474">
        <f t="shared" si="188"/>
        <v>84</v>
      </c>
      <c r="AP138" s="474">
        <f t="shared" si="189"/>
        <v>134.03590071521486</v>
      </c>
      <c r="AR138" s="6">
        <f t="shared" si="225"/>
        <v>7.4606877311526629</v>
      </c>
      <c r="AS138" s="6">
        <f t="shared" si="222"/>
        <v>5.1135050741608135</v>
      </c>
      <c r="AT138" s="6">
        <f t="shared" si="223"/>
        <v>2.3471826569918495</v>
      </c>
      <c r="AU138" s="181">
        <f t="shared" si="224"/>
        <v>0.68539325842696619</v>
      </c>
      <c r="AW138" s="6">
        <f t="shared" si="193"/>
        <v>2.8635628415300558</v>
      </c>
      <c r="AX138" s="6">
        <f t="shared" si="194"/>
        <v>5.3691803278688548</v>
      </c>
      <c r="AY138" s="6">
        <f t="shared" si="195"/>
        <v>0.7823942189972829</v>
      </c>
      <c r="AZ138" s="6"/>
      <c r="BA138" s="181">
        <f t="shared" si="196"/>
        <v>0.42772637071948771</v>
      </c>
      <c r="BB138" s="181">
        <f t="shared" si="197"/>
        <v>0.28978781807679282</v>
      </c>
      <c r="BC138" s="181">
        <f t="shared" si="198"/>
        <v>0.28568980852823211</v>
      </c>
      <c r="BD138" s="181"/>
      <c r="BE138" s="548">
        <f t="shared" si="199"/>
        <v>6.4032446873102625E-2</v>
      </c>
      <c r="BF138" s="548">
        <f t="shared" si="200"/>
        <v>2.6687499999999992E-2</v>
      </c>
      <c r="BG138" s="548">
        <f t="shared" si="201"/>
        <v>1.6754487589401858E-3</v>
      </c>
      <c r="BH138" s="548">
        <f t="shared" si="202"/>
        <v>3.8154785156249977E-3</v>
      </c>
      <c r="BI138">
        <f t="shared" si="203"/>
        <v>2.0300000000000001E-3</v>
      </c>
      <c r="BJ138" s="474">
        <f t="shared" si="204"/>
        <v>98.240874147667796</v>
      </c>
      <c r="BK138" s="181">
        <f t="shared" si="205"/>
        <v>2.9399999999999999E-2</v>
      </c>
      <c r="BL138" s="181">
        <f t="shared" si="206"/>
        <v>2.9399999999999999E-2</v>
      </c>
      <c r="BM138" s="548"/>
      <c r="BO138" s="474">
        <f t="shared" si="207"/>
        <v>58.8</v>
      </c>
      <c r="BP138" s="548">
        <f t="shared" si="208"/>
        <v>0</v>
      </c>
      <c r="BQ138" s="548">
        <f t="shared" si="209"/>
        <v>0</v>
      </c>
      <c r="BR138" s="548">
        <f t="shared" si="210"/>
        <v>7.3456800027208126E-3</v>
      </c>
      <c r="BS138" s="548">
        <f t="shared" si="211"/>
        <v>7.8779767900822844E-3</v>
      </c>
      <c r="BT138" s="658">
        <f t="shared" si="212"/>
        <v>0.11269999999999998</v>
      </c>
      <c r="BU138" s="474">
        <f t="shared" si="213"/>
        <v>127.92365679280307</v>
      </c>
      <c r="BV138" s="181">
        <f t="shared" si="214"/>
        <v>0.28496453094047092</v>
      </c>
      <c r="BW138" s="6">
        <f t="shared" si="215"/>
        <v>1.9319999999999999</v>
      </c>
      <c r="BX138" s="181">
        <f t="shared" si="216"/>
        <v>0.87146184480471378</v>
      </c>
      <c r="BY138" s="6">
        <f t="shared" si="217"/>
        <v>87.146184480471376</v>
      </c>
      <c r="BZ138">
        <f t="shared" si="218"/>
        <v>28.000000000000004</v>
      </c>
      <c r="CB138" s="583">
        <f t="shared" si="219"/>
        <v>-50</v>
      </c>
      <c r="CC138">
        <f t="shared" si="220"/>
        <v>-50</v>
      </c>
    </row>
    <row r="139" spans="5:81" x14ac:dyDescent="0.2">
      <c r="E139" s="178">
        <v>29</v>
      </c>
      <c r="F139" s="225">
        <f t="shared" si="221"/>
        <v>8.6999999999999994E-2</v>
      </c>
      <c r="G139" s="225">
        <f t="shared" si="160"/>
        <v>8.6999999999999994E-2</v>
      </c>
      <c r="H139" s="225">
        <f t="shared" si="161"/>
        <v>1.3049999999999999</v>
      </c>
      <c r="I139" s="225">
        <f t="shared" si="162"/>
        <v>0.69599999999999995</v>
      </c>
      <c r="J139" s="561">
        <f t="shared" si="163"/>
        <v>7</v>
      </c>
      <c r="K139" s="456">
        <f t="shared" si="164"/>
        <v>15.25</v>
      </c>
      <c r="L139" s="456">
        <f t="shared" si="165"/>
        <v>22.25</v>
      </c>
      <c r="M139" s="456"/>
      <c r="N139" s="225">
        <f t="shared" si="166"/>
        <v>0.6853932584269663</v>
      </c>
      <c r="O139" s="180">
        <f t="shared" si="167"/>
        <v>2.0416524181729359</v>
      </c>
      <c r="P139" s="180">
        <f t="shared" si="168"/>
        <v>1.6696179775280899</v>
      </c>
      <c r="Q139" s="225">
        <f t="shared" si="169"/>
        <v>0.13611016121152905</v>
      </c>
      <c r="R139" s="225">
        <f t="shared" si="170"/>
        <v>0.25520655227161698</v>
      </c>
      <c r="S139" s="225">
        <f t="shared" si="171"/>
        <v>15</v>
      </c>
      <c r="T139" s="225">
        <f t="shared" si="172"/>
        <v>0.92682279469164719</v>
      </c>
      <c r="U139" s="225">
        <f t="shared" si="173"/>
        <v>5.2961302553808416</v>
      </c>
      <c r="V139" s="225">
        <f t="shared" si="174"/>
        <v>2.4310106090272714</v>
      </c>
      <c r="W139" s="205">
        <f t="shared" si="175"/>
        <v>350</v>
      </c>
      <c r="X139" s="456">
        <f t="shared" si="176"/>
        <v>129.41397310434542</v>
      </c>
      <c r="Z139" s="225">
        <f t="shared" si="177"/>
        <v>0.34269662921348309</v>
      </c>
      <c r="AA139" s="181">
        <f t="shared" si="178"/>
        <v>0.89887640449438189</v>
      </c>
      <c r="AB139" s="181">
        <f t="shared" si="179"/>
        <v>3.5156957564646527E-2</v>
      </c>
      <c r="AC139" s="181"/>
      <c r="AD139" s="181">
        <f t="shared" si="180"/>
        <v>0.76065573770491812</v>
      </c>
      <c r="AE139" s="565">
        <f t="shared" si="181"/>
        <v>788.79310344827582</v>
      </c>
      <c r="AF139" s="548">
        <f t="shared" si="182"/>
        <v>3.8603278688524589E-2</v>
      </c>
      <c r="AH139" s="181">
        <f t="shared" si="183"/>
        <v>0.53465609774615197</v>
      </c>
      <c r="AI139" s="181">
        <f t="shared" si="184"/>
        <v>0.92682279469164719</v>
      </c>
      <c r="AJ139" s="181">
        <f t="shared" si="185"/>
        <v>1.6717205886604793</v>
      </c>
      <c r="AL139" s="565">
        <f t="shared" si="186"/>
        <v>87</v>
      </c>
      <c r="AM139" s="474">
        <f t="shared" si="187"/>
        <v>129.41397310434542</v>
      </c>
      <c r="AO139" s="474">
        <f t="shared" si="188"/>
        <v>87</v>
      </c>
      <c r="AP139" s="474">
        <f t="shared" si="189"/>
        <v>129.41397310434542</v>
      </c>
      <c r="AR139" s="6">
        <f t="shared" si="225"/>
        <v>7.7271408644081134</v>
      </c>
      <c r="AS139" s="6">
        <f t="shared" si="222"/>
        <v>5.2961302553808416</v>
      </c>
      <c r="AT139" s="6">
        <f t="shared" si="223"/>
        <v>2.4310106090272718</v>
      </c>
      <c r="AU139" s="181">
        <f t="shared" si="224"/>
        <v>0.6853932584269663</v>
      </c>
      <c r="AW139" s="6">
        <f t="shared" si="193"/>
        <v>3.0717555481208878</v>
      </c>
      <c r="AX139" s="6">
        <f t="shared" si="194"/>
        <v>5.7595416527266652</v>
      </c>
      <c r="AY139" s="6">
        <f t="shared" si="195"/>
        <v>0.83927747216417703</v>
      </c>
      <c r="AZ139" s="6"/>
      <c r="BA139" s="181">
        <f t="shared" si="196"/>
        <v>0.44300231253089795</v>
      </c>
      <c r="BB139" s="181">
        <f t="shared" si="197"/>
        <v>0.30013738300810683</v>
      </c>
      <c r="BC139" s="181">
        <f t="shared" si="198"/>
        <v>0.29589301597566892</v>
      </c>
      <c r="BD139" s="181"/>
      <c r="BE139" s="548">
        <f t="shared" si="199"/>
        <v>6.868786711770318E-2</v>
      </c>
      <c r="BF139" s="548">
        <f t="shared" si="200"/>
        <v>2.6687499999999996E-2</v>
      </c>
      <c r="BG139" s="548">
        <f t="shared" si="201"/>
        <v>1.6176746638043177E-3</v>
      </c>
      <c r="BH139" s="548">
        <f t="shared" si="202"/>
        <v>3.6839102909482749E-3</v>
      </c>
      <c r="BI139">
        <f t="shared" si="203"/>
        <v>2.0300000000000001E-3</v>
      </c>
      <c r="BJ139" s="474">
        <f t="shared" si="204"/>
        <v>102.70695207245576</v>
      </c>
      <c r="BK139" s="181">
        <f t="shared" si="205"/>
        <v>3.0449999999999994E-2</v>
      </c>
      <c r="BL139" s="181">
        <f t="shared" si="206"/>
        <v>3.0449999999999994E-2</v>
      </c>
      <c r="BM139" s="548"/>
      <c r="BO139" s="474">
        <f t="shared" si="207"/>
        <v>60.899999999999991</v>
      </c>
      <c r="BP139" s="548">
        <f t="shared" si="208"/>
        <v>0</v>
      </c>
      <c r="BQ139" s="548">
        <f t="shared" si="209"/>
        <v>0</v>
      </c>
      <c r="BR139" s="548">
        <f t="shared" si="210"/>
        <v>7.8797409212859708E-3</v>
      </c>
      <c r="BS139" s="548">
        <f t="shared" si="211"/>
        <v>7.8779767900822705E-3</v>
      </c>
      <c r="BT139" s="658">
        <f t="shared" si="212"/>
        <v>0.11672500000000001</v>
      </c>
      <c r="BU139" s="474">
        <f t="shared" si="213"/>
        <v>132.48271771136825</v>
      </c>
      <c r="BV139" s="181">
        <f t="shared" si="214"/>
        <v>0.29608966978382401</v>
      </c>
      <c r="BW139" s="6">
        <f t="shared" si="215"/>
        <v>2.0009999999999999</v>
      </c>
      <c r="BX139" s="181">
        <f t="shared" si="216"/>
        <v>0.87110225879354186</v>
      </c>
      <c r="BY139" s="6">
        <f t="shared" si="217"/>
        <v>87.110225879354189</v>
      </c>
      <c r="BZ139">
        <f t="shared" si="218"/>
        <v>28.999999999999996</v>
      </c>
      <c r="CB139" s="583">
        <f t="shared" si="219"/>
        <v>-50</v>
      </c>
      <c r="CC139">
        <f t="shared" si="220"/>
        <v>-50</v>
      </c>
    </row>
    <row r="140" spans="5:81" x14ac:dyDescent="0.2">
      <c r="E140" s="178">
        <v>30</v>
      </c>
      <c r="F140" s="225">
        <f t="shared" si="221"/>
        <v>0.09</v>
      </c>
      <c r="G140" s="225">
        <f t="shared" si="160"/>
        <v>0.09</v>
      </c>
      <c r="H140" s="225">
        <f t="shared" si="161"/>
        <v>1.3499999999999999</v>
      </c>
      <c r="I140" s="225">
        <f t="shared" si="162"/>
        <v>0.72</v>
      </c>
      <c r="J140" s="561">
        <f t="shared" si="163"/>
        <v>7</v>
      </c>
      <c r="K140" s="456">
        <f t="shared" si="164"/>
        <v>15.25</v>
      </c>
      <c r="L140" s="456">
        <f t="shared" si="165"/>
        <v>22.25</v>
      </c>
      <c r="M140" s="456"/>
      <c r="N140" s="225">
        <f t="shared" si="166"/>
        <v>0.6853932584269663</v>
      </c>
      <c r="O140" s="180">
        <f t="shared" si="167"/>
        <v>2.0416524181729359</v>
      </c>
      <c r="P140" s="180">
        <f t="shared" si="168"/>
        <v>1.6696179775280899</v>
      </c>
      <c r="Q140" s="225">
        <f t="shared" si="169"/>
        <v>0.13611016121152905</v>
      </c>
      <c r="R140" s="225">
        <f t="shared" si="170"/>
        <v>0.25520655227161698</v>
      </c>
      <c r="S140" s="225">
        <f t="shared" si="171"/>
        <v>15</v>
      </c>
      <c r="T140" s="225">
        <f t="shared" si="172"/>
        <v>0.95878220140515225</v>
      </c>
      <c r="U140" s="225">
        <f t="shared" si="173"/>
        <v>5.4787554366008706</v>
      </c>
      <c r="V140" s="225">
        <f t="shared" si="174"/>
        <v>2.5148385610626947</v>
      </c>
      <c r="W140" s="205">
        <f t="shared" si="175"/>
        <v>350</v>
      </c>
      <c r="X140" s="456">
        <f t="shared" si="176"/>
        <v>125.10017400086726</v>
      </c>
      <c r="Z140" s="225">
        <f t="shared" si="177"/>
        <v>0.34269662921348309</v>
      </c>
      <c r="AA140" s="181">
        <f t="shared" si="178"/>
        <v>0.89887640449438189</v>
      </c>
      <c r="AB140" s="181">
        <f t="shared" si="179"/>
        <v>3.5156957564646527E-2</v>
      </c>
      <c r="AC140" s="181"/>
      <c r="AD140" s="181">
        <f t="shared" si="180"/>
        <v>0.76065573770491812</v>
      </c>
      <c r="AE140" s="565">
        <f t="shared" si="181"/>
        <v>815.99286563614749</v>
      </c>
      <c r="AF140" s="548">
        <f t="shared" si="182"/>
        <v>3.8603278688524589E-2</v>
      </c>
      <c r="AH140" s="181">
        <f t="shared" si="183"/>
        <v>0.54379618030497934</v>
      </c>
      <c r="AI140" s="181">
        <f t="shared" si="184"/>
        <v>0.95878220140515225</v>
      </c>
      <c r="AJ140" s="181">
        <f t="shared" si="185"/>
        <v>1.6953942232630759</v>
      </c>
      <c r="AL140" s="565">
        <f t="shared" si="186"/>
        <v>90</v>
      </c>
      <c r="AM140" s="474">
        <f t="shared" si="187"/>
        <v>125.10017400086726</v>
      </c>
      <c r="AO140" s="474">
        <f t="shared" si="188"/>
        <v>90</v>
      </c>
      <c r="AP140" s="474">
        <f t="shared" si="189"/>
        <v>125.10017400086726</v>
      </c>
      <c r="AR140" s="6">
        <f t="shared" si="225"/>
        <v>7.9935939976635648</v>
      </c>
      <c r="AS140" s="6">
        <f t="shared" si="222"/>
        <v>5.4787554366008706</v>
      </c>
      <c r="AT140" s="6">
        <f t="shared" si="223"/>
        <v>2.5148385610626942</v>
      </c>
      <c r="AU140" s="181">
        <f t="shared" si="224"/>
        <v>0.6853932584269663</v>
      </c>
      <c r="AW140" s="6">
        <f t="shared" si="193"/>
        <v>3.2872532619605224</v>
      </c>
      <c r="AX140" s="6">
        <f t="shared" si="194"/>
        <v>6.1635998661759785</v>
      </c>
      <c r="AY140" s="6">
        <f t="shared" si="195"/>
        <v>0.89815662895096182</v>
      </c>
      <c r="AZ140" s="6"/>
      <c r="BA140" s="181">
        <f t="shared" si="196"/>
        <v>0.45827825434230823</v>
      </c>
      <c r="BB140" s="181">
        <f t="shared" si="197"/>
        <v>0.31048694793942083</v>
      </c>
      <c r="BC140" s="181">
        <f t="shared" si="198"/>
        <v>0.30609622342310577</v>
      </c>
      <c r="BD140" s="181"/>
      <c r="BE140" s="548">
        <f t="shared" si="199"/>
        <v>7.3506635441061674E-2</v>
      </c>
      <c r="BF140" s="548">
        <f t="shared" si="200"/>
        <v>2.6687499999999996E-2</v>
      </c>
      <c r="BG140" s="548">
        <f t="shared" si="201"/>
        <v>1.5637521750108405E-3</v>
      </c>
      <c r="BH140" s="548">
        <f t="shared" si="202"/>
        <v>3.5611132812499997E-3</v>
      </c>
      <c r="BI140">
        <f t="shared" si="203"/>
        <v>2.0300000000000001E-3</v>
      </c>
      <c r="BJ140" s="474">
        <f t="shared" si="204"/>
        <v>107.34900089732253</v>
      </c>
      <c r="BK140" s="181">
        <f t="shared" si="205"/>
        <v>3.15E-2</v>
      </c>
      <c r="BL140" s="181">
        <f t="shared" si="206"/>
        <v>3.15E-2</v>
      </c>
      <c r="BM140" s="548"/>
      <c r="BO140" s="474">
        <f t="shared" si="207"/>
        <v>63</v>
      </c>
      <c r="BP140" s="548">
        <f t="shared" si="208"/>
        <v>0</v>
      </c>
      <c r="BQ140" s="548">
        <f t="shared" si="209"/>
        <v>0</v>
      </c>
      <c r="BR140" s="548">
        <f t="shared" si="210"/>
        <v>8.4325408194499095E-3</v>
      </c>
      <c r="BS140" s="548">
        <f t="shared" si="211"/>
        <v>7.8779767900822775E-3</v>
      </c>
      <c r="BT140" s="658">
        <f t="shared" si="212"/>
        <v>0.12075</v>
      </c>
      <c r="BU140" s="474">
        <f t="shared" si="213"/>
        <v>137.06051760953218</v>
      </c>
      <c r="BV140" s="181">
        <f t="shared" si="214"/>
        <v>0.30740951850685472</v>
      </c>
      <c r="BW140" s="6">
        <f t="shared" si="215"/>
        <v>2.0699999999999998</v>
      </c>
      <c r="BX140" s="181">
        <f t="shared" si="216"/>
        <v>0.8706955969874618</v>
      </c>
      <c r="BY140" s="6">
        <f t="shared" si="217"/>
        <v>87.069559698746176</v>
      </c>
      <c r="BZ140">
        <f t="shared" si="218"/>
        <v>30</v>
      </c>
      <c r="CB140" s="583">
        <f t="shared" si="219"/>
        <v>-50</v>
      </c>
      <c r="CC140">
        <f t="shared" si="220"/>
        <v>-50</v>
      </c>
    </row>
    <row r="141" spans="5:81" x14ac:dyDescent="0.2">
      <c r="E141" s="178">
        <v>31</v>
      </c>
      <c r="F141" s="225">
        <f t="shared" si="221"/>
        <v>9.2999999999999999E-2</v>
      </c>
      <c r="G141" s="225">
        <f t="shared" si="160"/>
        <v>9.2999999999999999E-2</v>
      </c>
      <c r="H141" s="225">
        <f t="shared" si="161"/>
        <v>1.395</v>
      </c>
      <c r="I141" s="225">
        <f t="shared" si="162"/>
        <v>0.74399999999999999</v>
      </c>
      <c r="J141" s="561">
        <f t="shared" si="163"/>
        <v>7</v>
      </c>
      <c r="K141" s="456">
        <f t="shared" si="164"/>
        <v>15.25</v>
      </c>
      <c r="L141" s="456">
        <f t="shared" si="165"/>
        <v>22.25</v>
      </c>
      <c r="M141" s="456"/>
      <c r="N141" s="225">
        <f t="shared" si="166"/>
        <v>0.6853932584269663</v>
      </c>
      <c r="O141" s="180">
        <f t="shared" si="167"/>
        <v>2.0416524181729359</v>
      </c>
      <c r="P141" s="180">
        <f t="shared" si="168"/>
        <v>1.6696179775280899</v>
      </c>
      <c r="Q141" s="225">
        <f t="shared" si="169"/>
        <v>0.13611016121152905</v>
      </c>
      <c r="R141" s="225">
        <f t="shared" si="170"/>
        <v>0.25520655227161698</v>
      </c>
      <c r="S141" s="225">
        <f t="shared" si="171"/>
        <v>15</v>
      </c>
      <c r="T141" s="225">
        <f t="shared" si="172"/>
        <v>0.99074160811865752</v>
      </c>
      <c r="U141" s="225">
        <f t="shared" si="173"/>
        <v>5.6613806178209014</v>
      </c>
      <c r="V141" s="225">
        <f t="shared" si="174"/>
        <v>2.5986665130981184</v>
      </c>
      <c r="W141" s="205">
        <f t="shared" si="175"/>
        <v>350</v>
      </c>
      <c r="X141" s="456">
        <f t="shared" si="176"/>
        <v>121.06468451696827</v>
      </c>
      <c r="Z141" s="225">
        <f t="shared" si="177"/>
        <v>0.34269662921348309</v>
      </c>
      <c r="AA141" s="181">
        <f t="shared" si="178"/>
        <v>0.89887640449438189</v>
      </c>
      <c r="AB141" s="181">
        <f t="shared" si="179"/>
        <v>3.5156957564646527E-2</v>
      </c>
      <c r="AC141" s="181"/>
      <c r="AD141" s="181">
        <f t="shared" si="180"/>
        <v>0.76065573770491812</v>
      </c>
      <c r="AE141" s="565">
        <f t="shared" si="181"/>
        <v>843.19262782401904</v>
      </c>
      <c r="AF141" s="548">
        <f t="shared" si="182"/>
        <v>3.8603278688524589E-2</v>
      </c>
      <c r="AH141" s="181">
        <f t="shared" si="183"/>
        <v>0.5527851558891832</v>
      </c>
      <c r="AI141" s="181">
        <f t="shared" si="184"/>
        <v>0.99074160811865752</v>
      </c>
      <c r="AJ141" s="181">
        <f t="shared" si="185"/>
        <v>1.7190678578656722</v>
      </c>
      <c r="AL141" s="565">
        <f t="shared" si="186"/>
        <v>93</v>
      </c>
      <c r="AM141" s="474">
        <f t="shared" si="187"/>
        <v>121.06468451696827</v>
      </c>
      <c r="AO141" s="474">
        <f t="shared" si="188"/>
        <v>93</v>
      </c>
      <c r="AP141" s="474">
        <f t="shared" si="189"/>
        <v>121.06468451696827</v>
      </c>
      <c r="AR141" s="6">
        <f t="shared" si="225"/>
        <v>8.2600471309190198</v>
      </c>
      <c r="AS141" s="6">
        <f t="shared" si="222"/>
        <v>5.6613806178209014</v>
      </c>
      <c r="AT141" s="6">
        <f t="shared" si="223"/>
        <v>2.5986665130981184</v>
      </c>
      <c r="AU141" s="181">
        <f t="shared" si="224"/>
        <v>0.6853932584269663</v>
      </c>
      <c r="AW141" s="6">
        <f t="shared" si="193"/>
        <v>3.5100559830489586</v>
      </c>
      <c r="AX141" s="6">
        <f t="shared" si="194"/>
        <v>6.5813549682167976</v>
      </c>
      <c r="AY141" s="6">
        <f t="shared" si="195"/>
        <v>0.95903168935763883</v>
      </c>
      <c r="AZ141" s="6"/>
      <c r="BA141" s="181">
        <f t="shared" si="196"/>
        <v>0.47355419615371858</v>
      </c>
      <c r="BB141" s="181">
        <f t="shared" si="197"/>
        <v>0.32083651287073495</v>
      </c>
      <c r="BC141" s="181">
        <f t="shared" si="198"/>
        <v>0.31629943087054269</v>
      </c>
      <c r="BD141" s="181"/>
      <c r="BE141" s="548">
        <f t="shared" si="199"/>
        <v>7.8488751843178092E-2</v>
      </c>
      <c r="BF141" s="548">
        <f t="shared" si="200"/>
        <v>2.6687499999999996E-2</v>
      </c>
      <c r="BG141" s="548">
        <f t="shared" si="201"/>
        <v>1.5133085564621033E-3</v>
      </c>
      <c r="BH141" s="548">
        <f t="shared" si="202"/>
        <v>3.446238659274192E-3</v>
      </c>
      <c r="BI141">
        <f t="shared" si="203"/>
        <v>2.0300000000000001E-3</v>
      </c>
      <c r="BJ141" s="474">
        <f t="shared" si="204"/>
        <v>112.16579905891439</v>
      </c>
      <c r="BK141" s="181">
        <f t="shared" si="205"/>
        <v>3.2549999999999996E-2</v>
      </c>
      <c r="BL141" s="181">
        <f t="shared" si="206"/>
        <v>3.2549999999999996E-2</v>
      </c>
      <c r="BM141" s="548"/>
      <c r="BO141" s="474">
        <f t="shared" si="207"/>
        <v>65.099999999999994</v>
      </c>
      <c r="BP141" s="548">
        <f t="shared" si="208"/>
        <v>0</v>
      </c>
      <c r="BQ141" s="548">
        <f t="shared" si="209"/>
        <v>0</v>
      </c>
      <c r="BR141" s="548">
        <f t="shared" si="210"/>
        <v>9.0040796972126278E-3</v>
      </c>
      <c r="BS141" s="548">
        <f t="shared" si="211"/>
        <v>7.8779767900822879E-3</v>
      </c>
      <c r="BT141" s="658">
        <f t="shared" si="212"/>
        <v>0.12477500000000001</v>
      </c>
      <c r="BU141" s="474">
        <f t="shared" si="213"/>
        <v>141.65705648729494</v>
      </c>
      <c r="BV141" s="181">
        <f t="shared" si="214"/>
        <v>0.31892285554620931</v>
      </c>
      <c r="BW141" s="6">
        <f t="shared" si="215"/>
        <v>2.1390000000000002</v>
      </c>
      <c r="BX141" s="181">
        <f t="shared" si="216"/>
        <v>0.87024700355156714</v>
      </c>
      <c r="BY141" s="6">
        <f t="shared" si="217"/>
        <v>87.02470035515671</v>
      </c>
      <c r="BZ141">
        <f t="shared" si="218"/>
        <v>31</v>
      </c>
      <c r="CB141" s="583">
        <f t="shared" si="219"/>
        <v>-50</v>
      </c>
      <c r="CC141">
        <f t="shared" si="220"/>
        <v>-50</v>
      </c>
    </row>
    <row r="142" spans="5:81" x14ac:dyDescent="0.2">
      <c r="E142" s="178">
        <v>32</v>
      </c>
      <c r="F142" s="225">
        <f t="shared" si="221"/>
        <v>9.6000000000000002E-2</v>
      </c>
      <c r="G142" s="225">
        <f t="shared" ref="G142:G173" si="226">IF(PLOT_TYPE=1, E142/100*Iout2, min_I*EXP(Q142*rr/100))</f>
        <v>9.6000000000000002E-2</v>
      </c>
      <c r="H142" s="225">
        <f t="shared" ref="H142:H173" si="227">F142*Vout</f>
        <v>1.44</v>
      </c>
      <c r="I142" s="225">
        <f t="shared" ref="I142:I173" si="228">Vout2*G142</f>
        <v>0.76800000000000002</v>
      </c>
      <c r="J142" s="561">
        <f t="shared" si="163"/>
        <v>7</v>
      </c>
      <c r="K142" s="456">
        <f t="shared" si="164"/>
        <v>15.25</v>
      </c>
      <c r="L142" s="456">
        <f t="shared" si="165"/>
        <v>22.25</v>
      </c>
      <c r="M142" s="456"/>
      <c r="N142" s="225">
        <f t="shared" si="166"/>
        <v>0.6853932584269663</v>
      </c>
      <c r="O142" s="180">
        <f t="shared" ref="O142:O173" si="229">N142*J142*Isw_max*0.5*Efficiency*Pout/(Pout+Pout2)</f>
        <v>2.0416524181729359</v>
      </c>
      <c r="P142" s="180">
        <f t="shared" ref="P142:P173" si="230">N142*J142*Isw_max*0.5*Efficiency*(Pout2/Pout_total)</f>
        <v>1.6696179775280899</v>
      </c>
      <c r="Q142" s="225">
        <f t="shared" si="169"/>
        <v>0.13611016121152905</v>
      </c>
      <c r="R142" s="225">
        <f t="shared" ref="R142:R173" si="231">O142/Vout2</f>
        <v>0.25520655227161698</v>
      </c>
      <c r="S142" s="225">
        <f t="shared" ref="S142:S173" si="232">MIN(Vout,O142/F142)</f>
        <v>15</v>
      </c>
      <c r="T142" s="225">
        <f t="shared" ref="T142:T173" si="233">MIN(2*(Vout*F142+Vout2*G142)/(Efficiency*J142*N142), Isw_max)</f>
        <v>1.0227010148321625</v>
      </c>
      <c r="U142" s="225">
        <f t="shared" si="173"/>
        <v>5.8440057990409287</v>
      </c>
      <c r="V142" s="225">
        <f t="shared" si="174"/>
        <v>2.6824944651335412</v>
      </c>
      <c r="W142" s="205">
        <f t="shared" si="175"/>
        <v>350</v>
      </c>
      <c r="X142" s="456">
        <f t="shared" si="176"/>
        <v>117.28141312581305</v>
      </c>
      <c r="Z142" s="225">
        <f t="shared" si="177"/>
        <v>0.34269662921348309</v>
      </c>
      <c r="AA142" s="181">
        <f t="shared" si="178"/>
        <v>0.89887640449438189</v>
      </c>
      <c r="AB142" s="181">
        <f t="shared" ref="AB142:AB173" si="234">0.5*AA142*Z142*Nps*W142/1000*(Pout/(Pout+Pout2))</f>
        <v>3.5156957564646527E-2</v>
      </c>
      <c r="AC142" s="181"/>
      <c r="AD142" s="181">
        <f t="shared" si="180"/>
        <v>0.76065573770491812</v>
      </c>
      <c r="AE142" s="565">
        <f t="shared" ref="AE142:AE173" si="235">MAX(10, F142/(0.5*AD142/1000000*Isw_min*Nps)/1000*Pout_total/Pout)</f>
        <v>870.3923900118906</v>
      </c>
      <c r="AF142" s="548">
        <f t="shared" ref="AF142:AF173" si="236">0.5*AD142/1000000*Isw_min*Nps*W142*1000*(Pout/Pout_total)</f>
        <v>3.8603278688524589E-2</v>
      </c>
      <c r="AH142" s="181">
        <f t="shared" ref="AH142:AH173" si="237">SQRT((H142+I142)/(0.5*L*Fsw_DCM))</f>
        <v>0.56163028001397097</v>
      </c>
      <c r="AI142" s="181">
        <f t="shared" ref="AI142:AI173" si="238">MAX(IF(F142&gt;AB142,T142,AH142),Isw_min)</f>
        <v>1.0227010148321625</v>
      </c>
      <c r="AJ142" s="181">
        <f t="shared" ref="AJ142:AJ173" si="239">IF(F142&gt;AF142, (AI142-Isw_min)/1.08*0.8+1.2, AE142*0.2/350+1)</f>
        <v>1.7427414924682685</v>
      </c>
      <c r="AL142" s="565">
        <f t="shared" ref="AL142:AL173" si="240">F142*1000</f>
        <v>96</v>
      </c>
      <c r="AM142" s="474">
        <f t="shared" ref="AM142:AM173" si="241">IF(F142&gt;AF142, X142, AE142)</f>
        <v>117.28141312581305</v>
      </c>
      <c r="AO142" s="474">
        <f t="shared" si="188"/>
        <v>96</v>
      </c>
      <c r="AP142" s="474">
        <f t="shared" si="189"/>
        <v>117.28141312581305</v>
      </c>
      <c r="AR142" s="6">
        <f t="shared" si="225"/>
        <v>8.5265002641744694</v>
      </c>
      <c r="AS142" s="6">
        <f t="shared" si="222"/>
        <v>5.8440057990409287</v>
      </c>
      <c r="AT142" s="6">
        <f t="shared" si="223"/>
        <v>2.6824944651335407</v>
      </c>
      <c r="AU142" s="181">
        <f t="shared" si="224"/>
        <v>0.6853932584269663</v>
      </c>
      <c r="AW142" s="6">
        <f t="shared" si="193"/>
        <v>3.7401637113861947</v>
      </c>
      <c r="AX142" s="6">
        <f t="shared" si="194"/>
        <v>7.0128069588491142</v>
      </c>
      <c r="AY142" s="6">
        <f t="shared" si="195"/>
        <v>1.0219026533842057</v>
      </c>
      <c r="AZ142" s="6"/>
      <c r="BA142" s="181">
        <f t="shared" si="196"/>
        <v>0.48883013796512881</v>
      </c>
      <c r="BB142" s="181">
        <f t="shared" si="197"/>
        <v>0.33118607780204889</v>
      </c>
      <c r="BC142" s="181">
        <f t="shared" si="198"/>
        <v>0.32650263831797954</v>
      </c>
      <c r="BD142" s="181"/>
      <c r="BE142" s="548">
        <f t="shared" si="199"/>
        <v>8.3634216324052407E-2</v>
      </c>
      <c r="BF142" s="548">
        <f t="shared" si="200"/>
        <v>2.6687499999999999E-2</v>
      </c>
      <c r="BG142" s="548">
        <f t="shared" si="201"/>
        <v>1.466017664072663E-3</v>
      </c>
      <c r="BH142" s="548">
        <f t="shared" si="202"/>
        <v>3.3385437011718743E-3</v>
      </c>
      <c r="BI142">
        <f t="shared" si="203"/>
        <v>2.0300000000000001E-3</v>
      </c>
      <c r="BJ142" s="474">
        <f t="shared" si="204"/>
        <v>117.15627768929694</v>
      </c>
      <c r="BK142" s="181">
        <f t="shared" si="205"/>
        <v>3.3599999999999998E-2</v>
      </c>
      <c r="BL142" s="181">
        <f t="shared" si="206"/>
        <v>3.3599999999999998E-2</v>
      </c>
      <c r="BM142" s="548"/>
      <c r="BO142" s="474">
        <f t="shared" si="207"/>
        <v>67.2</v>
      </c>
      <c r="BP142" s="548">
        <f t="shared" si="208"/>
        <v>0</v>
      </c>
      <c r="BQ142" s="548">
        <f t="shared" si="209"/>
        <v>0</v>
      </c>
      <c r="BR142" s="548">
        <f t="shared" si="210"/>
        <v>9.5943575545741223E-3</v>
      </c>
      <c r="BS142" s="548">
        <f t="shared" si="211"/>
        <v>7.8779767900822809E-3</v>
      </c>
      <c r="BT142" s="658">
        <f t="shared" ref="BT142:BT173" si="242">0.5*Lleak*0.000000001*AI142^2*AM142*1000</f>
        <v>0.12880000000000005</v>
      </c>
      <c r="BU142" s="474">
        <f t="shared" si="213"/>
        <v>146.27233434465646</v>
      </c>
      <c r="BV142" s="181">
        <f t="shared" si="214"/>
        <v>0.33062861203395344</v>
      </c>
      <c r="BW142" s="6">
        <f t="shared" si="215"/>
        <v>2.2080000000000002</v>
      </c>
      <c r="BX142" s="181">
        <f t="shared" si="216"/>
        <v>0.86976093688274747</v>
      </c>
      <c r="BY142" s="6">
        <f t="shared" si="217"/>
        <v>86.976093688274744</v>
      </c>
      <c r="BZ142">
        <f t="shared" si="218"/>
        <v>32</v>
      </c>
      <c r="CB142" s="583">
        <f t="shared" ref="CB142:CB173" si="243">IF(ABS(F142-Ioutmax_Vinmin)&lt;Iout/200, AM142, -50)</f>
        <v>-50</v>
      </c>
      <c r="CC142">
        <f t="shared" ref="CC142:CC173" si="244">IF(ABS(F142-Ioutmax_Vinmin)&lt;Iout/200, (O142+P142)*BX142, -50)</f>
        <v>-50</v>
      </c>
    </row>
    <row r="143" spans="5:81" x14ac:dyDescent="0.2">
      <c r="E143" s="178">
        <v>33</v>
      </c>
      <c r="F143" s="225">
        <f t="shared" ref="F143:F174" si="245">IF(PLOT_TYPE=1, E143/100*Iout_max, min_I*EXP(O143*rr/100))</f>
        <v>9.9000000000000005E-2</v>
      </c>
      <c r="G143" s="225">
        <f t="shared" si="226"/>
        <v>9.9000000000000005E-2</v>
      </c>
      <c r="H143" s="225">
        <f t="shared" si="227"/>
        <v>1.4850000000000001</v>
      </c>
      <c r="I143" s="225">
        <f t="shared" si="228"/>
        <v>0.79200000000000004</v>
      </c>
      <c r="J143" s="561">
        <f t="shared" si="163"/>
        <v>7</v>
      </c>
      <c r="K143" s="456">
        <f t="shared" si="164"/>
        <v>15.25</v>
      </c>
      <c r="L143" s="456">
        <f t="shared" si="165"/>
        <v>22.25</v>
      </c>
      <c r="M143" s="456"/>
      <c r="N143" s="225">
        <f t="shared" si="166"/>
        <v>0.6853932584269663</v>
      </c>
      <c r="O143" s="180">
        <f t="shared" si="229"/>
        <v>2.0416524181729359</v>
      </c>
      <c r="P143" s="180">
        <f t="shared" si="230"/>
        <v>1.6696179775280899</v>
      </c>
      <c r="Q143" s="225">
        <f t="shared" si="169"/>
        <v>0.13611016121152905</v>
      </c>
      <c r="R143" s="225">
        <f t="shared" si="231"/>
        <v>0.25520655227161698</v>
      </c>
      <c r="S143" s="225">
        <f t="shared" si="232"/>
        <v>15</v>
      </c>
      <c r="T143" s="225">
        <f t="shared" si="233"/>
        <v>1.0546604215456676</v>
      </c>
      <c r="U143" s="225">
        <f t="shared" si="173"/>
        <v>6.0266309802609586</v>
      </c>
      <c r="V143" s="225">
        <f t="shared" si="174"/>
        <v>2.7663224171689644</v>
      </c>
      <c r="W143" s="205">
        <f t="shared" si="175"/>
        <v>350</v>
      </c>
      <c r="X143" s="456">
        <f t="shared" si="176"/>
        <v>113.7274309098793</v>
      </c>
      <c r="Z143" s="225">
        <f t="shared" si="177"/>
        <v>0.34269662921348309</v>
      </c>
      <c r="AA143" s="181">
        <f t="shared" si="178"/>
        <v>0.89887640449438189</v>
      </c>
      <c r="AB143" s="181">
        <f t="shared" si="234"/>
        <v>3.5156957564646527E-2</v>
      </c>
      <c r="AC143" s="181"/>
      <c r="AD143" s="181">
        <f t="shared" si="180"/>
        <v>0.76065573770491812</v>
      </c>
      <c r="AE143" s="565">
        <f t="shared" si="235"/>
        <v>897.59215219976215</v>
      </c>
      <c r="AF143" s="548">
        <f t="shared" si="236"/>
        <v>3.8603278688524589E-2</v>
      </c>
      <c r="AH143" s="181">
        <f t="shared" si="237"/>
        <v>0.57033824550499357</v>
      </c>
      <c r="AI143" s="181">
        <f t="shared" si="238"/>
        <v>1.0546604215456676</v>
      </c>
      <c r="AJ143" s="181">
        <f t="shared" si="239"/>
        <v>1.7664151270708648</v>
      </c>
      <c r="AL143" s="565">
        <f t="shared" si="240"/>
        <v>99</v>
      </c>
      <c r="AM143" s="474">
        <f t="shared" si="241"/>
        <v>113.7274309098793</v>
      </c>
      <c r="AO143" s="474">
        <f t="shared" si="188"/>
        <v>99</v>
      </c>
      <c r="AP143" s="474">
        <f t="shared" si="189"/>
        <v>113.7274309098793</v>
      </c>
      <c r="AR143" s="6">
        <f t="shared" si="225"/>
        <v>8.7929533974299225</v>
      </c>
      <c r="AS143" s="6">
        <f t="shared" si="222"/>
        <v>6.0266309802609586</v>
      </c>
      <c r="AT143" s="6">
        <f t="shared" si="223"/>
        <v>2.766322417168964</v>
      </c>
      <c r="AU143" s="181">
        <f t="shared" si="224"/>
        <v>0.6853932584269663</v>
      </c>
      <c r="AW143" s="6">
        <f t="shared" si="193"/>
        <v>3.9775764469722326</v>
      </c>
      <c r="AX143" s="6">
        <f t="shared" si="194"/>
        <v>7.4579558380729374</v>
      </c>
      <c r="AY143" s="6">
        <f t="shared" si="195"/>
        <v>1.0867695210306645</v>
      </c>
      <c r="AZ143" s="6"/>
      <c r="BA143" s="181">
        <f t="shared" si="196"/>
        <v>0.5041060797765391</v>
      </c>
      <c r="BB143" s="181">
        <f t="shared" si="197"/>
        <v>0.34153564273336295</v>
      </c>
      <c r="BC143" s="181">
        <f t="shared" si="198"/>
        <v>0.3367058457654164</v>
      </c>
      <c r="BD143" s="181"/>
      <c r="BE143" s="548">
        <f t="shared" si="199"/>
        <v>8.8943028883684633E-2</v>
      </c>
      <c r="BF143" s="548">
        <f t="shared" si="200"/>
        <v>2.6687499999999999E-2</v>
      </c>
      <c r="BG143" s="548">
        <f t="shared" si="201"/>
        <v>1.4215928863734913E-3</v>
      </c>
      <c r="BH143" s="548">
        <f t="shared" si="202"/>
        <v>3.2373757102272718E-3</v>
      </c>
      <c r="BI143">
        <f t="shared" si="203"/>
        <v>2.0300000000000001E-3</v>
      </c>
      <c r="BJ143" s="474">
        <f t="shared" si="204"/>
        <v>122.31949748028539</v>
      </c>
      <c r="BK143" s="181">
        <f t="shared" si="205"/>
        <v>3.465E-2</v>
      </c>
      <c r="BL143" s="181">
        <f t="shared" si="206"/>
        <v>3.465E-2</v>
      </c>
      <c r="BM143" s="548"/>
      <c r="BO143" s="474">
        <f t="shared" si="207"/>
        <v>69.3</v>
      </c>
      <c r="BP143" s="548">
        <f t="shared" si="208"/>
        <v>0</v>
      </c>
      <c r="BQ143" s="548">
        <f t="shared" si="209"/>
        <v>0</v>
      </c>
      <c r="BR143" s="548">
        <f t="shared" si="210"/>
        <v>1.0203374391534393E-2</v>
      </c>
      <c r="BS143" s="548">
        <f t="shared" si="211"/>
        <v>7.8779767900822792E-3</v>
      </c>
      <c r="BT143" s="658">
        <f t="shared" si="242"/>
        <v>0.13282500000000005</v>
      </c>
      <c r="BU143" s="474">
        <f t="shared" si="213"/>
        <v>150.90635118161671</v>
      </c>
      <c r="BV143" s="181">
        <f t="shared" si="214"/>
        <v>0.34252584866190217</v>
      </c>
      <c r="BW143" s="6">
        <f t="shared" si="215"/>
        <v>2.2770000000000001</v>
      </c>
      <c r="BX143" s="181">
        <f t="shared" si="216"/>
        <v>0.86924127935715156</v>
      </c>
      <c r="BY143" s="6">
        <f t="shared" si="217"/>
        <v>86.924127935715163</v>
      </c>
      <c r="BZ143">
        <f t="shared" si="218"/>
        <v>33</v>
      </c>
      <c r="CB143" s="583">
        <f t="shared" si="243"/>
        <v>-50</v>
      </c>
      <c r="CC143">
        <f t="shared" si="244"/>
        <v>-50</v>
      </c>
    </row>
    <row r="144" spans="5:81" x14ac:dyDescent="0.2">
      <c r="E144" s="178">
        <v>34</v>
      </c>
      <c r="F144" s="225">
        <f t="shared" si="245"/>
        <v>0.10200000000000001</v>
      </c>
      <c r="G144" s="225">
        <f t="shared" si="226"/>
        <v>0.10200000000000001</v>
      </c>
      <c r="H144" s="225">
        <f t="shared" si="227"/>
        <v>1.53</v>
      </c>
      <c r="I144" s="225">
        <f t="shared" si="228"/>
        <v>0.81600000000000006</v>
      </c>
      <c r="J144" s="561">
        <f t="shared" si="163"/>
        <v>7</v>
      </c>
      <c r="K144" s="456">
        <f t="shared" si="164"/>
        <v>15.25</v>
      </c>
      <c r="L144" s="456">
        <f t="shared" si="165"/>
        <v>22.25</v>
      </c>
      <c r="M144" s="456"/>
      <c r="N144" s="225">
        <f t="shared" si="166"/>
        <v>0.6853932584269663</v>
      </c>
      <c r="O144" s="180">
        <f t="shared" si="229"/>
        <v>2.0416524181729359</v>
      </c>
      <c r="P144" s="180">
        <f t="shared" si="230"/>
        <v>1.6696179775280899</v>
      </c>
      <c r="Q144" s="225">
        <f t="shared" si="169"/>
        <v>0.13611016121152905</v>
      </c>
      <c r="R144" s="225">
        <f t="shared" si="231"/>
        <v>0.25520655227161698</v>
      </c>
      <c r="S144" s="225">
        <f t="shared" si="232"/>
        <v>15</v>
      </c>
      <c r="T144" s="225">
        <f t="shared" si="233"/>
        <v>1.0866198282591726</v>
      </c>
      <c r="U144" s="225">
        <f t="shared" si="173"/>
        <v>6.2092561614809867</v>
      </c>
      <c r="V144" s="225">
        <f t="shared" si="174"/>
        <v>2.8501503692043872</v>
      </c>
      <c r="W144" s="205">
        <f t="shared" si="175"/>
        <v>350</v>
      </c>
      <c r="X144" s="456">
        <f t="shared" si="176"/>
        <v>110.38250647135345</v>
      </c>
      <c r="Z144" s="225">
        <f t="shared" si="177"/>
        <v>0.34269662921348309</v>
      </c>
      <c r="AA144" s="181">
        <f t="shared" si="178"/>
        <v>0.89887640449438189</v>
      </c>
      <c r="AB144" s="181">
        <f t="shared" si="234"/>
        <v>3.5156957564646527E-2</v>
      </c>
      <c r="AC144" s="181"/>
      <c r="AD144" s="181">
        <f t="shared" si="180"/>
        <v>0.76065573770491812</v>
      </c>
      <c r="AE144" s="565">
        <f t="shared" si="235"/>
        <v>924.79191438763382</v>
      </c>
      <c r="AF144" s="548">
        <f t="shared" si="236"/>
        <v>3.8603278688524589E-2</v>
      </c>
      <c r="AH144" s="181">
        <f t="shared" si="237"/>
        <v>0.57891524176070641</v>
      </c>
      <c r="AI144" s="181">
        <f t="shared" si="238"/>
        <v>1.0866198282591726</v>
      </c>
      <c r="AJ144" s="181">
        <f t="shared" si="239"/>
        <v>1.7900887616734611</v>
      </c>
      <c r="AL144" s="565">
        <f t="shared" si="240"/>
        <v>102.00000000000001</v>
      </c>
      <c r="AM144" s="474">
        <f t="shared" si="241"/>
        <v>110.38250647135345</v>
      </c>
      <c r="AO144" s="474">
        <f t="shared" si="188"/>
        <v>102.00000000000001</v>
      </c>
      <c r="AP144" s="474">
        <f t="shared" si="189"/>
        <v>110.38250647135345</v>
      </c>
      <c r="AR144" s="6">
        <f t="shared" si="225"/>
        <v>9.0594065306853739</v>
      </c>
      <c r="AS144" s="6">
        <f t="shared" si="222"/>
        <v>6.2092561614809867</v>
      </c>
      <c r="AT144" s="6">
        <f t="shared" si="223"/>
        <v>2.8501503692043872</v>
      </c>
      <c r="AU144" s="181">
        <f t="shared" si="224"/>
        <v>0.6853932584269663</v>
      </c>
      <c r="AW144" s="6">
        <f t="shared" si="193"/>
        <v>4.2222941898070721</v>
      </c>
      <c r="AX144" s="6">
        <f t="shared" si="194"/>
        <v>7.9168016058882591</v>
      </c>
      <c r="AY144" s="6">
        <f t="shared" si="195"/>
        <v>1.1536322922970137</v>
      </c>
      <c r="AZ144" s="6"/>
      <c r="BA144" s="181">
        <f t="shared" si="196"/>
        <v>0.51938202158794933</v>
      </c>
      <c r="BB144" s="181">
        <f t="shared" si="197"/>
        <v>0.35188520766467696</v>
      </c>
      <c r="BC144" s="181">
        <f t="shared" si="198"/>
        <v>0.3469090532128532</v>
      </c>
      <c r="BD144" s="181"/>
      <c r="BE144" s="548">
        <f t="shared" si="199"/>
        <v>9.4415189522074769E-2</v>
      </c>
      <c r="BF144" s="548">
        <f t="shared" si="200"/>
        <v>2.6687499999999999E-2</v>
      </c>
      <c r="BG144" s="548">
        <f t="shared" si="201"/>
        <v>1.3797813308919181E-3</v>
      </c>
      <c r="BH144" s="548">
        <f t="shared" si="202"/>
        <v>3.1421587775735285E-3</v>
      </c>
      <c r="BI144">
        <f t="shared" si="203"/>
        <v>2.0300000000000001E-3</v>
      </c>
      <c r="BJ144" s="474">
        <f t="shared" si="204"/>
        <v>127.65462963054023</v>
      </c>
      <c r="BK144" s="181">
        <f t="shared" si="205"/>
        <v>3.5700000000000003E-2</v>
      </c>
      <c r="BL144" s="181">
        <f t="shared" si="206"/>
        <v>3.5700000000000003E-2</v>
      </c>
      <c r="BM144" s="548"/>
      <c r="BO144" s="474">
        <f t="shared" si="207"/>
        <v>71.400000000000006</v>
      </c>
      <c r="BP144" s="548">
        <f t="shared" si="208"/>
        <v>0</v>
      </c>
      <c r="BQ144" s="548">
        <f t="shared" si="209"/>
        <v>0</v>
      </c>
      <c r="BR144" s="548">
        <f t="shared" si="210"/>
        <v>1.0831130208093438E-2</v>
      </c>
      <c r="BS144" s="548">
        <f t="shared" si="211"/>
        <v>7.8779767900822757E-3</v>
      </c>
      <c r="BT144" s="658">
        <f t="shared" si="242"/>
        <v>0.13685000000000003</v>
      </c>
      <c r="BU144" s="474">
        <f t="shared" si="213"/>
        <v>155.55910699817574</v>
      </c>
      <c r="BV144" s="181">
        <f t="shared" si="214"/>
        <v>0.35461373662871598</v>
      </c>
      <c r="BW144" s="6">
        <f t="shared" si="215"/>
        <v>2.3460000000000001</v>
      </c>
      <c r="BX144" s="181">
        <f t="shared" si="216"/>
        <v>0.86869142676012812</v>
      </c>
      <c r="BY144" s="6">
        <f t="shared" si="217"/>
        <v>86.869142676012814</v>
      </c>
      <c r="BZ144">
        <f t="shared" si="218"/>
        <v>34</v>
      </c>
      <c r="CB144" s="583">
        <f t="shared" si="243"/>
        <v>-50</v>
      </c>
      <c r="CC144">
        <f t="shared" si="244"/>
        <v>-50</v>
      </c>
    </row>
    <row r="145" spans="5:81" x14ac:dyDescent="0.2">
      <c r="E145" s="178">
        <v>35</v>
      </c>
      <c r="F145" s="225">
        <f t="shared" si="245"/>
        <v>0.105</v>
      </c>
      <c r="G145" s="225">
        <f t="shared" si="226"/>
        <v>0.105</v>
      </c>
      <c r="H145" s="225">
        <f t="shared" si="227"/>
        <v>1.575</v>
      </c>
      <c r="I145" s="225">
        <f t="shared" si="228"/>
        <v>0.84</v>
      </c>
      <c r="J145" s="561">
        <f t="shared" si="163"/>
        <v>7</v>
      </c>
      <c r="K145" s="456">
        <f t="shared" si="164"/>
        <v>15.25</v>
      </c>
      <c r="L145" s="456">
        <f t="shared" si="165"/>
        <v>22.25</v>
      </c>
      <c r="M145" s="456"/>
      <c r="N145" s="225">
        <f t="shared" si="166"/>
        <v>0.6853932584269663</v>
      </c>
      <c r="O145" s="180">
        <f t="shared" si="229"/>
        <v>2.0416524181729359</v>
      </c>
      <c r="P145" s="180">
        <f t="shared" si="230"/>
        <v>1.6696179775280899</v>
      </c>
      <c r="Q145" s="225">
        <f t="shared" si="169"/>
        <v>0.13611016121152905</v>
      </c>
      <c r="R145" s="225">
        <f t="shared" si="231"/>
        <v>0.25520655227161698</v>
      </c>
      <c r="S145" s="225">
        <f t="shared" si="232"/>
        <v>15</v>
      </c>
      <c r="T145" s="225">
        <f t="shared" si="233"/>
        <v>1.1185792349726777</v>
      </c>
      <c r="U145" s="225">
        <f t="shared" si="173"/>
        <v>6.3918813427010166</v>
      </c>
      <c r="V145" s="225">
        <f t="shared" si="174"/>
        <v>2.9339783212398109</v>
      </c>
      <c r="W145" s="205">
        <f t="shared" si="175"/>
        <v>350</v>
      </c>
      <c r="X145" s="456">
        <f t="shared" si="176"/>
        <v>107.22872057217191</v>
      </c>
      <c r="Z145" s="225">
        <f t="shared" si="177"/>
        <v>0.34269662921348309</v>
      </c>
      <c r="AA145" s="181">
        <f t="shared" si="178"/>
        <v>0.89887640449438189</v>
      </c>
      <c r="AB145" s="181">
        <f t="shared" si="234"/>
        <v>3.5156957564646527E-2</v>
      </c>
      <c r="AC145" s="181"/>
      <c r="AD145" s="181">
        <f t="shared" si="180"/>
        <v>0.76065573770491812</v>
      </c>
      <c r="AE145" s="565">
        <f t="shared" si="235"/>
        <v>951.99167657550527</v>
      </c>
      <c r="AF145" s="548">
        <f t="shared" si="236"/>
        <v>3.8603278688524589E-2</v>
      </c>
      <c r="AH145" s="181">
        <f t="shared" si="237"/>
        <v>0.58736700622353655</v>
      </c>
      <c r="AI145" s="181">
        <f t="shared" si="238"/>
        <v>1.1185792349726777</v>
      </c>
      <c r="AJ145" s="181">
        <f t="shared" si="239"/>
        <v>1.8137623962760574</v>
      </c>
      <c r="AL145" s="565">
        <f t="shared" si="240"/>
        <v>105</v>
      </c>
      <c r="AM145" s="474">
        <f t="shared" si="241"/>
        <v>107.22872057217191</v>
      </c>
      <c r="AO145" s="474">
        <f t="shared" si="188"/>
        <v>105</v>
      </c>
      <c r="AP145" s="474">
        <f t="shared" si="189"/>
        <v>107.22872057217191</v>
      </c>
      <c r="AR145" s="6">
        <f t="shared" si="225"/>
        <v>9.3258596639408271</v>
      </c>
      <c r="AS145" s="6">
        <f t="shared" si="222"/>
        <v>6.3918813427010166</v>
      </c>
      <c r="AT145" s="6">
        <f t="shared" si="223"/>
        <v>2.9339783212398105</v>
      </c>
      <c r="AU145" s="181">
        <f t="shared" si="224"/>
        <v>0.6853932584269663</v>
      </c>
      <c r="AW145" s="6">
        <f t="shared" si="193"/>
        <v>4.4743169398907119</v>
      </c>
      <c r="AX145" s="6">
        <f t="shared" si="194"/>
        <v>8.3893442622950847</v>
      </c>
      <c r="AY145" s="6">
        <f t="shared" si="195"/>
        <v>1.2224909671832542</v>
      </c>
      <c r="AZ145" s="6"/>
      <c r="BA145" s="181">
        <f t="shared" si="196"/>
        <v>0.53465796339935967</v>
      </c>
      <c r="BB145" s="181">
        <f t="shared" si="197"/>
        <v>0.36223477259599102</v>
      </c>
      <c r="BC145" s="181">
        <f t="shared" si="198"/>
        <v>0.35711226066029012</v>
      </c>
      <c r="BD145" s="181"/>
      <c r="BE145" s="548">
        <f t="shared" si="199"/>
        <v>0.10005069823922286</v>
      </c>
      <c r="BF145" s="548">
        <f t="shared" si="200"/>
        <v>2.6687499999999999E-2</v>
      </c>
      <c r="BG145" s="548">
        <f t="shared" si="201"/>
        <v>1.3403590071521488E-3</v>
      </c>
      <c r="BH145" s="548">
        <f t="shared" si="202"/>
        <v>3.0523828124999989E-3</v>
      </c>
      <c r="BI145">
        <f t="shared" si="203"/>
        <v>2.0300000000000001E-3</v>
      </c>
      <c r="BJ145" s="474">
        <f t="shared" si="204"/>
        <v>133.16094005887501</v>
      </c>
      <c r="BK145" s="181">
        <f t="shared" si="205"/>
        <v>3.6749999999999998E-2</v>
      </c>
      <c r="BL145" s="181">
        <f t="shared" si="206"/>
        <v>3.6749999999999998E-2</v>
      </c>
      <c r="BM145" s="548"/>
      <c r="BO145" s="474">
        <f t="shared" si="207"/>
        <v>73.5</v>
      </c>
      <c r="BP145" s="548">
        <f t="shared" si="208"/>
        <v>0</v>
      </c>
      <c r="BQ145" s="548">
        <f t="shared" si="209"/>
        <v>0</v>
      </c>
      <c r="BR145" s="548">
        <f t="shared" si="210"/>
        <v>1.1477625004251269E-2</v>
      </c>
      <c r="BS145" s="548">
        <f t="shared" si="211"/>
        <v>7.877976790082274E-3</v>
      </c>
      <c r="BT145" s="658">
        <f t="shared" si="242"/>
        <v>0.14087500000000003</v>
      </c>
      <c r="BU145" s="474">
        <f t="shared" si="213"/>
        <v>160.23060179433358</v>
      </c>
      <c r="BV145" s="181">
        <f t="shared" si="214"/>
        <v>0.3668915418532086</v>
      </c>
      <c r="BW145" s="6">
        <f t="shared" si="215"/>
        <v>2.415</v>
      </c>
      <c r="BX145" s="181">
        <f t="shared" si="216"/>
        <v>0.8681143616372633</v>
      </c>
      <c r="BY145" s="6">
        <f t="shared" si="217"/>
        <v>86.811436163726327</v>
      </c>
      <c r="BZ145">
        <f t="shared" si="218"/>
        <v>35</v>
      </c>
      <c r="CB145" s="583">
        <f t="shared" si="243"/>
        <v>-50</v>
      </c>
      <c r="CC145">
        <f t="shared" si="244"/>
        <v>-50</v>
      </c>
    </row>
    <row r="146" spans="5:81" x14ac:dyDescent="0.2">
      <c r="E146" s="178">
        <v>36</v>
      </c>
      <c r="F146" s="225">
        <f t="shared" si="245"/>
        <v>0.108</v>
      </c>
      <c r="G146" s="225">
        <f t="shared" si="226"/>
        <v>0.108</v>
      </c>
      <c r="H146" s="225">
        <f t="shared" si="227"/>
        <v>1.6199999999999999</v>
      </c>
      <c r="I146" s="225">
        <f t="shared" si="228"/>
        <v>0.86399999999999999</v>
      </c>
      <c r="J146" s="561">
        <f t="shared" si="163"/>
        <v>7</v>
      </c>
      <c r="K146" s="456">
        <f t="shared" si="164"/>
        <v>15.25</v>
      </c>
      <c r="L146" s="456">
        <f t="shared" si="165"/>
        <v>22.25</v>
      </c>
      <c r="M146" s="456"/>
      <c r="N146" s="225">
        <f t="shared" si="166"/>
        <v>0.6853932584269663</v>
      </c>
      <c r="O146" s="180">
        <f t="shared" si="229"/>
        <v>2.0416524181729359</v>
      </c>
      <c r="P146" s="180">
        <f t="shared" si="230"/>
        <v>1.6696179775280899</v>
      </c>
      <c r="Q146" s="225">
        <f t="shared" si="169"/>
        <v>0.13611016121152905</v>
      </c>
      <c r="R146" s="225">
        <f t="shared" si="231"/>
        <v>0.25520655227161698</v>
      </c>
      <c r="S146" s="225">
        <f t="shared" si="232"/>
        <v>15</v>
      </c>
      <c r="T146" s="225">
        <f t="shared" si="233"/>
        <v>1.1505386416861827</v>
      </c>
      <c r="U146" s="225">
        <f t="shared" si="173"/>
        <v>6.5745065239210438</v>
      </c>
      <c r="V146" s="225">
        <f t="shared" si="174"/>
        <v>3.0178062732752333</v>
      </c>
      <c r="W146" s="205">
        <f t="shared" si="175"/>
        <v>350</v>
      </c>
      <c r="X146" s="456">
        <f t="shared" si="176"/>
        <v>104.25014500072271</v>
      </c>
      <c r="Z146" s="225">
        <f t="shared" si="177"/>
        <v>0.34269662921348309</v>
      </c>
      <c r="AA146" s="181">
        <f t="shared" si="178"/>
        <v>0.89887640449438189</v>
      </c>
      <c r="AB146" s="181">
        <f t="shared" si="234"/>
        <v>3.5156957564646527E-2</v>
      </c>
      <c r="AC146" s="181"/>
      <c r="AD146" s="181">
        <f t="shared" si="180"/>
        <v>0.76065573770491812</v>
      </c>
      <c r="AE146" s="565">
        <f t="shared" si="235"/>
        <v>979.19143876337694</v>
      </c>
      <c r="AF146" s="548">
        <f t="shared" si="236"/>
        <v>3.8603278688524589E-2</v>
      </c>
      <c r="AH146" s="181">
        <f t="shared" si="237"/>
        <v>0.5956988692763675</v>
      </c>
      <c r="AI146" s="181">
        <f t="shared" si="238"/>
        <v>1.1505386416861827</v>
      </c>
      <c r="AJ146" s="181">
        <f t="shared" si="239"/>
        <v>1.8374360308786537</v>
      </c>
      <c r="AL146" s="565">
        <f t="shared" si="240"/>
        <v>108</v>
      </c>
      <c r="AM146" s="474">
        <f t="shared" si="241"/>
        <v>104.25014500072271</v>
      </c>
      <c r="AO146" s="474">
        <f t="shared" si="188"/>
        <v>108</v>
      </c>
      <c r="AP146" s="474">
        <f t="shared" si="189"/>
        <v>104.25014500072271</v>
      </c>
      <c r="AR146" s="6">
        <f t="shared" si="225"/>
        <v>9.5923127971962785</v>
      </c>
      <c r="AS146" s="6">
        <f t="shared" si="222"/>
        <v>6.5745065239210438</v>
      </c>
      <c r="AT146" s="6">
        <f t="shared" si="223"/>
        <v>3.0178062732752347</v>
      </c>
      <c r="AU146" s="181">
        <f t="shared" si="224"/>
        <v>0.68539325842696619</v>
      </c>
      <c r="AW146" s="6">
        <f t="shared" si="193"/>
        <v>4.7336446972231521</v>
      </c>
      <c r="AX146" s="6">
        <f t="shared" si="194"/>
        <v>8.8755838072934079</v>
      </c>
      <c r="AY146" s="6">
        <f t="shared" si="195"/>
        <v>1.2933455456893859</v>
      </c>
      <c r="AZ146" s="6"/>
      <c r="BA146" s="181">
        <f t="shared" si="196"/>
        <v>0.5499339052107699</v>
      </c>
      <c r="BB146" s="181">
        <f t="shared" si="197"/>
        <v>0.37258433752730508</v>
      </c>
      <c r="BC146" s="181">
        <f t="shared" si="198"/>
        <v>0.36731546810772703</v>
      </c>
      <c r="BD146" s="181"/>
      <c r="BE146" s="548">
        <f t="shared" si="199"/>
        <v>0.10584955503512881</v>
      </c>
      <c r="BF146" s="548">
        <f t="shared" si="200"/>
        <v>2.6687499999999996E-2</v>
      </c>
      <c r="BG146" s="548">
        <f t="shared" si="201"/>
        <v>1.3031268125090339E-3</v>
      </c>
      <c r="BH146" s="548">
        <f t="shared" si="202"/>
        <v>2.9675944010416661E-3</v>
      </c>
      <c r="BI146">
        <f t="shared" si="203"/>
        <v>2.0300000000000001E-3</v>
      </c>
      <c r="BJ146" s="474">
        <f t="shared" si="204"/>
        <v>138.83777624867952</v>
      </c>
      <c r="BK146" s="181">
        <f t="shared" si="205"/>
        <v>3.78E-2</v>
      </c>
      <c r="BL146" s="181">
        <f t="shared" si="206"/>
        <v>3.78E-2</v>
      </c>
      <c r="BM146" s="548"/>
      <c r="BO146" s="474">
        <f t="shared" si="207"/>
        <v>75.599999999999994</v>
      </c>
      <c r="BP146" s="548">
        <f t="shared" si="208"/>
        <v>0</v>
      </c>
      <c r="BQ146" s="548">
        <f t="shared" si="209"/>
        <v>0</v>
      </c>
      <c r="BR146" s="548">
        <f t="shared" si="210"/>
        <v>1.2142858780007877E-2</v>
      </c>
      <c r="BS146" s="548">
        <f t="shared" si="211"/>
        <v>7.8779767900822861E-3</v>
      </c>
      <c r="BT146" s="658">
        <f t="shared" si="242"/>
        <v>0.14490000000000003</v>
      </c>
      <c r="BU146" s="474">
        <f t="shared" si="213"/>
        <v>164.92083557009019</v>
      </c>
      <c r="BV146" s="181">
        <f t="shared" si="214"/>
        <v>0.37935861181876973</v>
      </c>
      <c r="BW146" s="6">
        <f t="shared" si="215"/>
        <v>2.484</v>
      </c>
      <c r="BX146" s="181">
        <f t="shared" si="216"/>
        <v>0.86751271382741479</v>
      </c>
      <c r="BY146" s="6">
        <f t="shared" si="217"/>
        <v>86.751271382741479</v>
      </c>
      <c r="BZ146">
        <f t="shared" si="218"/>
        <v>36</v>
      </c>
      <c r="CB146" s="583">
        <f t="shared" si="243"/>
        <v>-50</v>
      </c>
      <c r="CC146">
        <f t="shared" si="244"/>
        <v>-50</v>
      </c>
    </row>
    <row r="147" spans="5:81" x14ac:dyDescent="0.2">
      <c r="E147" s="178">
        <v>37</v>
      </c>
      <c r="F147" s="225">
        <f t="shared" si="245"/>
        <v>0.111</v>
      </c>
      <c r="G147" s="225">
        <f t="shared" si="226"/>
        <v>0.111</v>
      </c>
      <c r="H147" s="225">
        <f t="shared" si="227"/>
        <v>1.665</v>
      </c>
      <c r="I147" s="225">
        <f t="shared" si="228"/>
        <v>0.88800000000000001</v>
      </c>
      <c r="J147" s="561">
        <f t="shared" si="163"/>
        <v>7</v>
      </c>
      <c r="K147" s="456">
        <f t="shared" si="164"/>
        <v>15.25</v>
      </c>
      <c r="L147" s="456">
        <f t="shared" si="165"/>
        <v>22.25</v>
      </c>
      <c r="M147" s="456"/>
      <c r="N147" s="225">
        <f t="shared" si="166"/>
        <v>0.6853932584269663</v>
      </c>
      <c r="O147" s="180">
        <f t="shared" si="229"/>
        <v>2.0416524181729359</v>
      </c>
      <c r="P147" s="180">
        <f t="shared" si="230"/>
        <v>1.6696179775280899</v>
      </c>
      <c r="Q147" s="225">
        <f t="shared" si="169"/>
        <v>0.13611016121152905</v>
      </c>
      <c r="R147" s="225">
        <f t="shared" si="231"/>
        <v>0.25520655227161698</v>
      </c>
      <c r="S147" s="225">
        <f t="shared" si="232"/>
        <v>15</v>
      </c>
      <c r="T147" s="225">
        <f t="shared" si="233"/>
        <v>1.1824980483996879</v>
      </c>
      <c r="U147" s="225">
        <f t="shared" si="173"/>
        <v>6.7571317051410738</v>
      </c>
      <c r="V147" s="225">
        <f t="shared" si="174"/>
        <v>3.1016342253106566</v>
      </c>
      <c r="W147" s="205">
        <f t="shared" si="175"/>
        <v>350</v>
      </c>
      <c r="X147" s="456">
        <f t="shared" si="176"/>
        <v>101.4325735142167</v>
      </c>
      <c r="Z147" s="225">
        <f t="shared" si="177"/>
        <v>0.34269662921348309</v>
      </c>
      <c r="AA147" s="181">
        <f t="shared" si="178"/>
        <v>0.89887640449438189</v>
      </c>
      <c r="AB147" s="181">
        <f t="shared" si="234"/>
        <v>3.5156957564646527E-2</v>
      </c>
      <c r="AC147" s="181"/>
      <c r="AD147" s="181">
        <f t="shared" si="180"/>
        <v>0.76065573770491812</v>
      </c>
      <c r="AE147" s="565">
        <f t="shared" si="235"/>
        <v>1006.3912009512484</v>
      </c>
      <c r="AF147" s="548">
        <f t="shared" si="236"/>
        <v>3.8603278688524589E-2</v>
      </c>
      <c r="AH147" s="181">
        <f t="shared" si="237"/>
        <v>0.60391579356255098</v>
      </c>
      <c r="AI147" s="181">
        <f t="shared" si="238"/>
        <v>1.1824980483996879</v>
      </c>
      <c r="AJ147" s="181">
        <f t="shared" si="239"/>
        <v>1.8611096654812502</v>
      </c>
      <c r="AL147" s="565">
        <f t="shared" si="240"/>
        <v>111</v>
      </c>
      <c r="AM147" s="474">
        <f t="shared" si="241"/>
        <v>101.4325735142167</v>
      </c>
      <c r="AO147" s="474">
        <f t="shared" si="188"/>
        <v>111</v>
      </c>
      <c r="AP147" s="474">
        <f t="shared" si="189"/>
        <v>101.4325735142167</v>
      </c>
      <c r="AR147" s="6">
        <f t="shared" si="225"/>
        <v>9.8587659304517299</v>
      </c>
      <c r="AS147" s="6">
        <f t="shared" si="222"/>
        <v>6.7571317051410738</v>
      </c>
      <c r="AT147" s="6">
        <f t="shared" si="223"/>
        <v>3.1016342253106561</v>
      </c>
      <c r="AU147" s="181">
        <f t="shared" si="224"/>
        <v>0.6853932584269663</v>
      </c>
      <c r="AW147" s="6">
        <f t="shared" si="193"/>
        <v>5.0002774618043944</v>
      </c>
      <c r="AX147" s="6">
        <f t="shared" si="194"/>
        <v>9.3755202408832385</v>
      </c>
      <c r="AY147" s="6">
        <f t="shared" si="195"/>
        <v>1.3661960278154077</v>
      </c>
      <c r="AZ147" s="6"/>
      <c r="BA147" s="181">
        <f t="shared" si="196"/>
        <v>0.56520984702218013</v>
      </c>
      <c r="BB147" s="181">
        <f t="shared" si="197"/>
        <v>0.38293390245861908</v>
      </c>
      <c r="BC147" s="181">
        <f t="shared" si="198"/>
        <v>0.37751867555516389</v>
      </c>
      <c r="BD147" s="181"/>
      <c r="BE147" s="548">
        <f t="shared" si="199"/>
        <v>0.11181175990979268</v>
      </c>
      <c r="BF147" s="548">
        <f t="shared" si="200"/>
        <v>2.6687499999999999E-2</v>
      </c>
      <c r="BG147" s="548">
        <f t="shared" si="201"/>
        <v>1.2679071689277088E-3</v>
      </c>
      <c r="BH147" s="548">
        <f t="shared" si="202"/>
        <v>2.8873891469594591E-3</v>
      </c>
      <c r="BI147">
        <f t="shared" si="203"/>
        <v>2.0300000000000001E-3</v>
      </c>
      <c r="BJ147" s="474">
        <f t="shared" si="204"/>
        <v>144.68455622567984</v>
      </c>
      <c r="BK147" s="181">
        <f t="shared" si="205"/>
        <v>3.8849999999999996E-2</v>
      </c>
      <c r="BL147" s="181">
        <f t="shared" si="206"/>
        <v>3.8849999999999996E-2</v>
      </c>
      <c r="BM147" s="548"/>
      <c r="BO147" s="474">
        <f t="shared" si="207"/>
        <v>77.699999999999989</v>
      </c>
      <c r="BP147" s="548">
        <f t="shared" si="208"/>
        <v>0</v>
      </c>
      <c r="BQ147" s="548">
        <f t="shared" si="209"/>
        <v>0</v>
      </c>
      <c r="BR147" s="548">
        <f t="shared" si="210"/>
        <v>1.2826831535363259E-2</v>
      </c>
      <c r="BS147" s="548">
        <f t="shared" si="211"/>
        <v>7.8779767900822861E-3</v>
      </c>
      <c r="BT147" s="658">
        <f t="shared" si="242"/>
        <v>0.14892500000000006</v>
      </c>
      <c r="BU147" s="474">
        <f t="shared" si="213"/>
        <v>169.62980832544559</v>
      </c>
      <c r="BV147" s="181">
        <f t="shared" si="214"/>
        <v>0.39201436455112548</v>
      </c>
      <c r="BW147" s="6">
        <f t="shared" si="215"/>
        <v>2.5529999999999999</v>
      </c>
      <c r="BX147" s="181">
        <f t="shared" si="216"/>
        <v>0.86688881070674317</v>
      </c>
      <c r="BY147" s="6">
        <f t="shared" si="217"/>
        <v>86.688881070674313</v>
      </c>
      <c r="BZ147">
        <f t="shared" si="218"/>
        <v>37</v>
      </c>
      <c r="CB147" s="583">
        <f t="shared" si="243"/>
        <v>-50</v>
      </c>
      <c r="CC147">
        <f t="shared" si="244"/>
        <v>-50</v>
      </c>
    </row>
    <row r="148" spans="5:81" x14ac:dyDescent="0.2">
      <c r="E148" s="178">
        <v>38</v>
      </c>
      <c r="F148" s="225">
        <f t="shared" si="245"/>
        <v>0.11399999999999999</v>
      </c>
      <c r="G148" s="225">
        <f t="shared" si="226"/>
        <v>0.11399999999999999</v>
      </c>
      <c r="H148" s="225">
        <f t="shared" si="227"/>
        <v>1.71</v>
      </c>
      <c r="I148" s="225">
        <f t="shared" si="228"/>
        <v>0.91199999999999992</v>
      </c>
      <c r="J148" s="561">
        <f t="shared" si="163"/>
        <v>7</v>
      </c>
      <c r="K148" s="456">
        <f t="shared" si="164"/>
        <v>15.25</v>
      </c>
      <c r="L148" s="456">
        <f t="shared" si="165"/>
        <v>22.25</v>
      </c>
      <c r="M148" s="456"/>
      <c r="N148" s="225">
        <f t="shared" si="166"/>
        <v>0.6853932584269663</v>
      </c>
      <c r="O148" s="180">
        <f t="shared" si="229"/>
        <v>2.0416524181729359</v>
      </c>
      <c r="P148" s="180">
        <f t="shared" si="230"/>
        <v>1.6696179775280899</v>
      </c>
      <c r="Q148" s="225">
        <f t="shared" si="169"/>
        <v>0.13611016121152905</v>
      </c>
      <c r="R148" s="225">
        <f t="shared" si="231"/>
        <v>0.25520655227161698</v>
      </c>
      <c r="S148" s="225">
        <f t="shared" si="232"/>
        <v>15</v>
      </c>
      <c r="T148" s="225">
        <f t="shared" si="233"/>
        <v>1.2144574551131928</v>
      </c>
      <c r="U148" s="225">
        <f t="shared" si="173"/>
        <v>6.9397568863611028</v>
      </c>
      <c r="V148" s="225">
        <f t="shared" si="174"/>
        <v>3.1854621773460794</v>
      </c>
      <c r="W148" s="205">
        <f t="shared" si="175"/>
        <v>350</v>
      </c>
      <c r="X148" s="456">
        <f t="shared" si="176"/>
        <v>98.763295263842579</v>
      </c>
      <c r="Z148" s="225">
        <f t="shared" si="177"/>
        <v>0.34269662921348309</v>
      </c>
      <c r="AA148" s="181">
        <f t="shared" si="178"/>
        <v>0.89887640449438189</v>
      </c>
      <c r="AB148" s="181">
        <f t="shared" si="234"/>
        <v>3.5156957564646527E-2</v>
      </c>
      <c r="AC148" s="181"/>
      <c r="AD148" s="181">
        <f t="shared" si="180"/>
        <v>0.76065573770491812</v>
      </c>
      <c r="AE148" s="565">
        <f t="shared" si="235"/>
        <v>1033.59096313912</v>
      </c>
      <c r="AF148" s="548">
        <f t="shared" si="236"/>
        <v>3.8603278688524589E-2</v>
      </c>
      <c r="AH148" s="181">
        <f t="shared" si="237"/>
        <v>0.61202240855333756</v>
      </c>
      <c r="AI148" s="181">
        <f t="shared" si="238"/>
        <v>1.2144574551131928</v>
      </c>
      <c r="AJ148" s="181">
        <f t="shared" si="239"/>
        <v>1.8847833000838465</v>
      </c>
      <c r="AL148" s="565">
        <f t="shared" si="240"/>
        <v>113.99999999999999</v>
      </c>
      <c r="AM148" s="474">
        <f t="shared" si="241"/>
        <v>98.763295263842579</v>
      </c>
      <c r="AO148" s="474">
        <f t="shared" si="188"/>
        <v>113.99999999999999</v>
      </c>
      <c r="AP148" s="474">
        <f t="shared" si="189"/>
        <v>98.763295263842579</v>
      </c>
      <c r="AR148" s="6">
        <f t="shared" si="225"/>
        <v>10.125219063707181</v>
      </c>
      <c r="AS148" s="6">
        <f t="shared" si="222"/>
        <v>6.9397568863611028</v>
      </c>
      <c r="AT148" s="6">
        <f t="shared" si="223"/>
        <v>3.1854621773460785</v>
      </c>
      <c r="AU148" s="181">
        <f t="shared" si="224"/>
        <v>0.68539325842696641</v>
      </c>
      <c r="AW148" s="6">
        <f t="shared" si="193"/>
        <v>5.2742152336344379</v>
      </c>
      <c r="AX148" s="6">
        <f t="shared" si="194"/>
        <v>9.8891535630645695</v>
      </c>
      <c r="AY148" s="6">
        <f t="shared" si="195"/>
        <v>1.4410424135613209</v>
      </c>
      <c r="AZ148" s="6"/>
      <c r="BA148" s="181">
        <f t="shared" si="196"/>
        <v>0.58048578883359048</v>
      </c>
      <c r="BB148" s="181">
        <f t="shared" si="197"/>
        <v>0.39328346738993297</v>
      </c>
      <c r="BC148" s="181">
        <f t="shared" si="198"/>
        <v>0.38772188300260058</v>
      </c>
      <c r="BD148" s="181"/>
      <c r="BE148" s="548">
        <f t="shared" si="199"/>
        <v>0.11793731286321452</v>
      </c>
      <c r="BF148" s="548">
        <f t="shared" si="200"/>
        <v>2.6687499999999999E-2</v>
      </c>
      <c r="BG148" s="548">
        <f t="shared" si="201"/>
        <v>1.2345411907980321E-3</v>
      </c>
      <c r="BH148" s="548">
        <f t="shared" si="202"/>
        <v>2.8114052220394735E-3</v>
      </c>
      <c r="BI148">
        <f t="shared" si="203"/>
        <v>2.0300000000000001E-3</v>
      </c>
      <c r="BJ148" s="474">
        <f t="shared" si="204"/>
        <v>150.70075927605203</v>
      </c>
      <c r="BK148" s="181">
        <f t="shared" si="205"/>
        <v>3.9899999999999991E-2</v>
      </c>
      <c r="BL148" s="181">
        <f t="shared" si="206"/>
        <v>3.9899999999999991E-2</v>
      </c>
      <c r="BM148" s="548"/>
      <c r="BO148" s="474">
        <f t="shared" si="207"/>
        <v>79.799999999999983</v>
      </c>
      <c r="BP148" s="548">
        <f t="shared" si="208"/>
        <v>0</v>
      </c>
      <c r="BQ148" s="548">
        <f t="shared" si="209"/>
        <v>0</v>
      </c>
      <c r="BR148" s="548">
        <f t="shared" si="210"/>
        <v>1.3529543270317407E-2</v>
      </c>
      <c r="BS148" s="548">
        <f t="shared" si="211"/>
        <v>7.8779767900822827E-3</v>
      </c>
      <c r="BT148" s="658">
        <f t="shared" si="242"/>
        <v>0.15295000000000003</v>
      </c>
      <c r="BU148" s="474">
        <f t="shared" si="213"/>
        <v>174.35752006039974</v>
      </c>
      <c r="BV148" s="181">
        <f t="shared" si="214"/>
        <v>0.40485827933645174</v>
      </c>
      <c r="BW148" s="6">
        <f t="shared" si="215"/>
        <v>2.6219999999999999</v>
      </c>
      <c r="BX148" s="181">
        <f t="shared" si="216"/>
        <v>0.86624471912004919</v>
      </c>
      <c r="BY148" s="6">
        <f t="shared" si="217"/>
        <v>86.624471912004921</v>
      </c>
      <c r="BZ148">
        <f t="shared" si="218"/>
        <v>38</v>
      </c>
      <c r="CB148" s="583">
        <f t="shared" si="243"/>
        <v>-50</v>
      </c>
      <c r="CC148">
        <f t="shared" si="244"/>
        <v>-50</v>
      </c>
    </row>
    <row r="149" spans="5:81" x14ac:dyDescent="0.2">
      <c r="E149" s="178">
        <v>39</v>
      </c>
      <c r="F149" s="225">
        <f t="shared" si="245"/>
        <v>0.11699999999999999</v>
      </c>
      <c r="G149" s="225">
        <f t="shared" si="226"/>
        <v>0.11699999999999999</v>
      </c>
      <c r="H149" s="225">
        <f t="shared" si="227"/>
        <v>1.7549999999999999</v>
      </c>
      <c r="I149" s="225">
        <f t="shared" si="228"/>
        <v>0.93599999999999994</v>
      </c>
      <c r="J149" s="561">
        <f t="shared" si="163"/>
        <v>7</v>
      </c>
      <c r="K149" s="456">
        <f t="shared" si="164"/>
        <v>15.25</v>
      </c>
      <c r="L149" s="456">
        <f t="shared" si="165"/>
        <v>22.25</v>
      </c>
      <c r="M149" s="456"/>
      <c r="N149" s="225">
        <f t="shared" si="166"/>
        <v>0.6853932584269663</v>
      </c>
      <c r="O149" s="180">
        <f t="shared" si="229"/>
        <v>2.0416524181729359</v>
      </c>
      <c r="P149" s="180">
        <f t="shared" si="230"/>
        <v>1.6696179775280899</v>
      </c>
      <c r="Q149" s="225">
        <f t="shared" si="169"/>
        <v>0.13611016121152905</v>
      </c>
      <c r="R149" s="225">
        <f t="shared" si="231"/>
        <v>0.25520655227161698</v>
      </c>
      <c r="S149" s="225">
        <f t="shared" si="232"/>
        <v>15</v>
      </c>
      <c r="T149" s="225">
        <f t="shared" si="233"/>
        <v>1.246416861826698</v>
      </c>
      <c r="U149" s="225">
        <f t="shared" si="173"/>
        <v>7.1223820675811318</v>
      </c>
      <c r="V149" s="225">
        <f t="shared" si="174"/>
        <v>3.2692901293815031</v>
      </c>
      <c r="W149" s="205">
        <f t="shared" si="175"/>
        <v>350</v>
      </c>
      <c r="X149" s="456">
        <f t="shared" si="176"/>
        <v>96.230903077590185</v>
      </c>
      <c r="Z149" s="225">
        <f t="shared" si="177"/>
        <v>0.34269662921348309</v>
      </c>
      <c r="AA149" s="181">
        <f t="shared" si="178"/>
        <v>0.89887640449438189</v>
      </c>
      <c r="AB149" s="181">
        <f t="shared" si="234"/>
        <v>3.5156957564646527E-2</v>
      </c>
      <c r="AC149" s="181"/>
      <c r="AD149" s="181">
        <f t="shared" si="180"/>
        <v>0.76065573770491812</v>
      </c>
      <c r="AE149" s="565">
        <f t="shared" si="235"/>
        <v>1060.7907253269916</v>
      </c>
      <c r="AF149" s="548">
        <f t="shared" si="236"/>
        <v>3.8603278688524589E-2</v>
      </c>
      <c r="AH149" s="181">
        <f t="shared" si="237"/>
        <v>0.6200230410465174</v>
      </c>
      <c r="AI149" s="181">
        <f t="shared" si="238"/>
        <v>1.246416861826698</v>
      </c>
      <c r="AJ149" s="181">
        <f t="shared" si="239"/>
        <v>1.9084569346864428</v>
      </c>
      <c r="AL149" s="565">
        <f t="shared" si="240"/>
        <v>117</v>
      </c>
      <c r="AM149" s="474">
        <f t="shared" si="241"/>
        <v>96.230903077590185</v>
      </c>
      <c r="AO149" s="474">
        <f t="shared" si="188"/>
        <v>117</v>
      </c>
      <c r="AP149" s="474">
        <f t="shared" si="189"/>
        <v>96.230903077590185</v>
      </c>
      <c r="AR149" s="6">
        <f t="shared" si="225"/>
        <v>10.391672196962634</v>
      </c>
      <c r="AS149" s="6">
        <f t="shared" si="222"/>
        <v>7.1223820675811318</v>
      </c>
      <c r="AT149" s="6">
        <f t="shared" si="223"/>
        <v>3.2692901293815027</v>
      </c>
      <c r="AU149" s="181">
        <f t="shared" si="224"/>
        <v>0.6853932584269663</v>
      </c>
      <c r="AW149" s="6">
        <f t="shared" si="193"/>
        <v>5.5554580127132827</v>
      </c>
      <c r="AX149" s="6">
        <f t="shared" si="194"/>
        <v>10.416483773837404</v>
      </c>
      <c r="AY149" s="6">
        <f t="shared" si="195"/>
        <v>1.5178847029271259</v>
      </c>
      <c r="AZ149" s="6"/>
      <c r="BA149" s="181">
        <f t="shared" si="196"/>
        <v>0.59576173064500071</v>
      </c>
      <c r="BB149" s="181">
        <f t="shared" si="197"/>
        <v>0.40363303232124709</v>
      </c>
      <c r="BC149" s="181">
        <f t="shared" si="198"/>
        <v>0.39792509045003754</v>
      </c>
      <c r="BD149" s="181"/>
      <c r="BE149" s="548">
        <f t="shared" si="199"/>
        <v>0.12422621389539422</v>
      </c>
      <c r="BF149" s="548">
        <f t="shared" si="200"/>
        <v>2.6687499999999996E-2</v>
      </c>
      <c r="BG149" s="548">
        <f t="shared" si="201"/>
        <v>1.2028862884698773E-3</v>
      </c>
      <c r="BH149" s="548">
        <f t="shared" si="202"/>
        <v>2.7393179086538455E-3</v>
      </c>
      <c r="BI149">
        <f t="shared" si="203"/>
        <v>2.0300000000000001E-3</v>
      </c>
      <c r="BJ149" s="474">
        <f t="shared" si="204"/>
        <v>156.88591809251793</v>
      </c>
      <c r="BK149" s="181">
        <f t="shared" si="205"/>
        <v>4.0949999999999993E-2</v>
      </c>
      <c r="BL149" s="181">
        <f t="shared" si="206"/>
        <v>4.0949999999999993E-2</v>
      </c>
      <c r="BM149" s="548"/>
      <c r="BO149" s="474">
        <f t="shared" si="207"/>
        <v>81.899999999999991</v>
      </c>
      <c r="BP149" s="548">
        <f t="shared" si="208"/>
        <v>0</v>
      </c>
      <c r="BQ149" s="548">
        <f t="shared" si="209"/>
        <v>0</v>
      </c>
      <c r="BR149" s="548">
        <f t="shared" si="210"/>
        <v>1.425099398487035E-2</v>
      </c>
      <c r="BS149" s="548">
        <f t="shared" si="211"/>
        <v>7.8779767900822827E-3</v>
      </c>
      <c r="BT149" s="658">
        <f t="shared" si="242"/>
        <v>0.156975</v>
      </c>
      <c r="BU149" s="474">
        <f t="shared" si="213"/>
        <v>179.10397077495264</v>
      </c>
      <c r="BV149" s="181">
        <f t="shared" si="214"/>
        <v>0.41788988886747058</v>
      </c>
      <c r="BW149" s="6">
        <f t="shared" si="215"/>
        <v>2.6909999999999998</v>
      </c>
      <c r="BX149" s="181">
        <f t="shared" si="216"/>
        <v>0.86558228055490816</v>
      </c>
      <c r="BY149" s="6">
        <f t="shared" si="217"/>
        <v>86.558228055490815</v>
      </c>
      <c r="BZ149">
        <f t="shared" si="218"/>
        <v>39</v>
      </c>
      <c r="CB149" s="583">
        <f t="shared" si="243"/>
        <v>-50</v>
      </c>
      <c r="CC149">
        <f t="shared" si="244"/>
        <v>-50</v>
      </c>
    </row>
    <row r="150" spans="5:81" x14ac:dyDescent="0.2">
      <c r="E150" s="178">
        <v>40</v>
      </c>
      <c r="F150" s="225">
        <f t="shared" si="245"/>
        <v>0.12</v>
      </c>
      <c r="G150" s="225">
        <f t="shared" si="226"/>
        <v>0.12</v>
      </c>
      <c r="H150" s="225">
        <f t="shared" si="227"/>
        <v>1.7999999999999998</v>
      </c>
      <c r="I150" s="225">
        <f t="shared" si="228"/>
        <v>0.96</v>
      </c>
      <c r="J150" s="561">
        <f t="shared" si="163"/>
        <v>7</v>
      </c>
      <c r="K150" s="456">
        <f t="shared" si="164"/>
        <v>15.25</v>
      </c>
      <c r="L150" s="456">
        <f t="shared" si="165"/>
        <v>22.25</v>
      </c>
      <c r="M150" s="456"/>
      <c r="N150" s="225">
        <f t="shared" si="166"/>
        <v>0.6853932584269663</v>
      </c>
      <c r="O150" s="180">
        <f t="shared" si="229"/>
        <v>2.0416524181729359</v>
      </c>
      <c r="P150" s="180">
        <f t="shared" si="230"/>
        <v>1.6696179775280899</v>
      </c>
      <c r="Q150" s="225">
        <f t="shared" si="169"/>
        <v>0.13611016121152905</v>
      </c>
      <c r="R150" s="225">
        <f t="shared" si="231"/>
        <v>0.25520655227161698</v>
      </c>
      <c r="S150" s="225">
        <f t="shared" si="232"/>
        <v>15</v>
      </c>
      <c r="T150" s="225">
        <f t="shared" si="233"/>
        <v>1.2783762685402029</v>
      </c>
      <c r="U150" s="225">
        <f t="shared" si="173"/>
        <v>7.3050072488011608</v>
      </c>
      <c r="V150" s="225">
        <f t="shared" si="174"/>
        <v>3.3531180814169259</v>
      </c>
      <c r="W150" s="205">
        <f t="shared" si="175"/>
        <v>350</v>
      </c>
      <c r="X150" s="456">
        <f t="shared" si="176"/>
        <v>93.825130500650431</v>
      </c>
      <c r="Z150" s="225">
        <f t="shared" si="177"/>
        <v>0.34269662921348309</v>
      </c>
      <c r="AA150" s="181">
        <f t="shared" si="178"/>
        <v>0.89887640449438189</v>
      </c>
      <c r="AB150" s="181">
        <f t="shared" si="234"/>
        <v>3.5156957564646527E-2</v>
      </c>
      <c r="AC150" s="181"/>
      <c r="AD150" s="181">
        <f t="shared" si="180"/>
        <v>0.76065573770491812</v>
      </c>
      <c r="AE150" s="565">
        <f t="shared" si="235"/>
        <v>1087.9904875148632</v>
      </c>
      <c r="AF150" s="548">
        <f t="shared" si="236"/>
        <v>3.8603278688524589E-2</v>
      </c>
      <c r="AH150" s="181">
        <f t="shared" si="237"/>
        <v>0.62792174216674024</v>
      </c>
      <c r="AI150" s="181">
        <f t="shared" si="238"/>
        <v>1.2783762685402029</v>
      </c>
      <c r="AJ150" s="181">
        <f t="shared" si="239"/>
        <v>1.9321305692890391</v>
      </c>
      <c r="AL150" s="565">
        <f t="shared" si="240"/>
        <v>120</v>
      </c>
      <c r="AM150" s="474">
        <f t="shared" si="241"/>
        <v>93.825130500650431</v>
      </c>
      <c r="AO150" s="474">
        <f t="shared" si="188"/>
        <v>120</v>
      </c>
      <c r="AP150" s="474">
        <f t="shared" si="189"/>
        <v>93.825130500650431</v>
      </c>
      <c r="AR150" s="6">
        <f t="shared" si="225"/>
        <v>10.658125330218086</v>
      </c>
      <c r="AS150" s="6">
        <f t="shared" si="222"/>
        <v>7.3050072488011608</v>
      </c>
      <c r="AT150" s="6">
        <f t="shared" si="223"/>
        <v>3.353118081416925</v>
      </c>
      <c r="AU150" s="181">
        <f t="shared" si="224"/>
        <v>0.68539325842696641</v>
      </c>
      <c r="AW150" s="6">
        <f t="shared" si="193"/>
        <v>5.8440057990409287</v>
      </c>
      <c r="AX150" s="6">
        <f t="shared" si="194"/>
        <v>10.957510873201739</v>
      </c>
      <c r="AY150" s="6">
        <f t="shared" si="195"/>
        <v>1.5967228959128212</v>
      </c>
      <c r="AZ150" s="6"/>
      <c r="BA150" s="181">
        <f t="shared" si="196"/>
        <v>0.61103767245641105</v>
      </c>
      <c r="BB150" s="181">
        <f t="shared" si="197"/>
        <v>0.41398259725256104</v>
      </c>
      <c r="BC150" s="181">
        <f t="shared" si="198"/>
        <v>0.40812829789747429</v>
      </c>
      <c r="BD150" s="181"/>
      <c r="BE150" s="548">
        <f t="shared" si="199"/>
        <v>0.13067846300633187</v>
      </c>
      <c r="BF150" s="548">
        <f t="shared" si="200"/>
        <v>2.6687499999999996E-2</v>
      </c>
      <c r="BG150" s="548">
        <f t="shared" si="201"/>
        <v>1.1728141312581303E-3</v>
      </c>
      <c r="BH150" s="548">
        <f t="shared" si="202"/>
        <v>2.6708349609374997E-3</v>
      </c>
      <c r="BI150">
        <f t="shared" si="203"/>
        <v>2.0300000000000001E-3</v>
      </c>
      <c r="BJ150" s="474">
        <f t="shared" si="204"/>
        <v>163.23961209852752</v>
      </c>
      <c r="BK150" s="181">
        <f t="shared" si="205"/>
        <v>4.1999999999999996E-2</v>
      </c>
      <c r="BL150" s="181">
        <f t="shared" si="206"/>
        <v>4.1999999999999996E-2</v>
      </c>
      <c r="BM150" s="548"/>
      <c r="BO150" s="474">
        <f t="shared" si="207"/>
        <v>83.999999999999986</v>
      </c>
      <c r="BP150" s="548">
        <f t="shared" si="208"/>
        <v>0</v>
      </c>
      <c r="BQ150" s="548">
        <f t="shared" si="209"/>
        <v>0</v>
      </c>
      <c r="BR150" s="548">
        <f t="shared" si="210"/>
        <v>1.4991183679022057E-2</v>
      </c>
      <c r="BS150" s="548">
        <f t="shared" si="211"/>
        <v>7.8779767900822844E-3</v>
      </c>
      <c r="BT150" s="658">
        <f t="shared" si="242"/>
        <v>0.16099999999999998</v>
      </c>
      <c r="BU150" s="474">
        <f t="shared" si="213"/>
        <v>183.86916046910432</v>
      </c>
      <c r="BV150" s="181">
        <f t="shared" si="214"/>
        <v>0.43110877256763186</v>
      </c>
      <c r="BW150" s="6">
        <f t="shared" si="215"/>
        <v>2.76</v>
      </c>
      <c r="BX150" s="181">
        <f t="shared" si="216"/>
        <v>0.86490314079117003</v>
      </c>
      <c r="BY150" s="6">
        <f t="shared" si="217"/>
        <v>86.490314079116999</v>
      </c>
      <c r="BZ150">
        <f t="shared" si="218"/>
        <v>40</v>
      </c>
      <c r="CB150" s="583">
        <f t="shared" si="243"/>
        <v>-50</v>
      </c>
      <c r="CC150">
        <f t="shared" si="244"/>
        <v>-50</v>
      </c>
    </row>
    <row r="151" spans="5:81" x14ac:dyDescent="0.2">
      <c r="E151" s="178">
        <v>41</v>
      </c>
      <c r="F151" s="225">
        <f t="shared" si="245"/>
        <v>0.12299999999999998</v>
      </c>
      <c r="G151" s="225">
        <f t="shared" si="226"/>
        <v>0.12299999999999998</v>
      </c>
      <c r="H151" s="225">
        <f t="shared" si="227"/>
        <v>1.8449999999999998</v>
      </c>
      <c r="I151" s="225">
        <f t="shared" si="228"/>
        <v>0.98399999999999987</v>
      </c>
      <c r="J151" s="561">
        <f t="shared" si="163"/>
        <v>7</v>
      </c>
      <c r="K151" s="456">
        <f t="shared" si="164"/>
        <v>15.25</v>
      </c>
      <c r="L151" s="456">
        <f t="shared" si="165"/>
        <v>22.25</v>
      </c>
      <c r="M151" s="456"/>
      <c r="N151" s="225">
        <f t="shared" si="166"/>
        <v>0.6853932584269663</v>
      </c>
      <c r="O151" s="180">
        <f t="shared" si="229"/>
        <v>2.0416524181729359</v>
      </c>
      <c r="P151" s="180">
        <f t="shared" si="230"/>
        <v>1.6696179775280899</v>
      </c>
      <c r="Q151" s="225">
        <f t="shared" si="169"/>
        <v>0.13611016121152905</v>
      </c>
      <c r="R151" s="225">
        <f t="shared" si="231"/>
        <v>0.25520655227161698</v>
      </c>
      <c r="S151" s="225">
        <f t="shared" si="232"/>
        <v>15</v>
      </c>
      <c r="T151" s="225">
        <f t="shared" si="233"/>
        <v>1.3103356752537081</v>
      </c>
      <c r="U151" s="225">
        <f t="shared" si="173"/>
        <v>7.4876324300211898</v>
      </c>
      <c r="V151" s="225">
        <f t="shared" si="174"/>
        <v>3.4369460334523492</v>
      </c>
      <c r="W151" s="205">
        <f t="shared" si="175"/>
        <v>350</v>
      </c>
      <c r="X151" s="456">
        <f t="shared" si="176"/>
        <v>91.53671268356139</v>
      </c>
      <c r="Z151" s="225">
        <f t="shared" si="177"/>
        <v>0.34269662921348309</v>
      </c>
      <c r="AA151" s="181">
        <f t="shared" si="178"/>
        <v>0.89887640449438189</v>
      </c>
      <c r="AB151" s="181">
        <f t="shared" si="234"/>
        <v>3.5156957564646527E-2</v>
      </c>
      <c r="AC151" s="181"/>
      <c r="AD151" s="181">
        <f t="shared" si="180"/>
        <v>0.76065573770491812</v>
      </c>
      <c r="AE151" s="565">
        <f t="shared" si="235"/>
        <v>1115.1902497027347</v>
      </c>
      <c r="AF151" s="548">
        <f t="shared" si="236"/>
        <v>3.8603278688524589E-2</v>
      </c>
      <c r="AH151" s="181">
        <f t="shared" si="237"/>
        <v>0.63572231134580848</v>
      </c>
      <c r="AI151" s="181">
        <f t="shared" si="238"/>
        <v>1.3103356752537081</v>
      </c>
      <c r="AJ151" s="181">
        <f t="shared" si="239"/>
        <v>1.9558042038916357</v>
      </c>
      <c r="AL151" s="565">
        <f t="shared" si="240"/>
        <v>122.99999999999999</v>
      </c>
      <c r="AM151" s="474">
        <f t="shared" si="241"/>
        <v>91.53671268356139</v>
      </c>
      <c r="AO151" s="474">
        <f t="shared" si="188"/>
        <v>122.99999999999999</v>
      </c>
      <c r="AP151" s="474">
        <f t="shared" si="189"/>
        <v>91.53671268356139</v>
      </c>
      <c r="AR151" s="6">
        <f t="shared" si="225"/>
        <v>10.924578463473539</v>
      </c>
      <c r="AS151" s="6">
        <f t="shared" si="222"/>
        <v>7.4876324300211898</v>
      </c>
      <c r="AT151" s="6">
        <f t="shared" si="223"/>
        <v>3.4369460334523492</v>
      </c>
      <c r="AU151" s="181">
        <f t="shared" si="224"/>
        <v>0.6853932584269663</v>
      </c>
      <c r="AW151" s="6">
        <f t="shared" si="193"/>
        <v>6.139858592617375</v>
      </c>
      <c r="AX151" s="6">
        <f t="shared" si="194"/>
        <v>11.512234861157577</v>
      </c>
      <c r="AY151" s="6">
        <f t="shared" si="195"/>
        <v>1.677556992518408</v>
      </c>
      <c r="AZ151" s="6"/>
      <c r="BA151" s="181">
        <f t="shared" si="196"/>
        <v>0.62631361426782128</v>
      </c>
      <c r="BB151" s="181">
        <f t="shared" si="197"/>
        <v>0.42433216218387515</v>
      </c>
      <c r="BC151" s="181">
        <f t="shared" si="198"/>
        <v>0.4183315053449112</v>
      </c>
      <c r="BD151" s="181"/>
      <c r="BE151" s="548">
        <f t="shared" si="199"/>
        <v>0.13729406019602741</v>
      </c>
      <c r="BF151" s="548">
        <f t="shared" si="200"/>
        <v>2.6687499999999996E-2</v>
      </c>
      <c r="BG151" s="548">
        <f t="shared" si="201"/>
        <v>1.1442089085445173E-3</v>
      </c>
      <c r="BH151" s="548">
        <f t="shared" si="202"/>
        <v>2.6056926448170723E-3</v>
      </c>
      <c r="BI151">
        <f t="shared" si="203"/>
        <v>2.0300000000000001E-3</v>
      </c>
      <c r="BJ151" s="474">
        <f t="shared" si="204"/>
        <v>169.76146174938901</v>
      </c>
      <c r="BK151" s="181">
        <f t="shared" si="205"/>
        <v>4.3049999999999991E-2</v>
      </c>
      <c r="BL151" s="181">
        <f t="shared" si="206"/>
        <v>4.3049999999999991E-2</v>
      </c>
      <c r="BM151" s="548"/>
      <c r="BO151" s="474">
        <f t="shared" si="207"/>
        <v>86.09999999999998</v>
      </c>
      <c r="BP151" s="548">
        <f t="shared" si="208"/>
        <v>0</v>
      </c>
      <c r="BQ151" s="548">
        <f t="shared" si="209"/>
        <v>0</v>
      </c>
      <c r="BR151" s="548">
        <f t="shared" si="210"/>
        <v>1.5750112352772551E-2</v>
      </c>
      <c r="BS151" s="548">
        <f t="shared" si="211"/>
        <v>7.8779767900822879E-3</v>
      </c>
      <c r="BT151" s="658">
        <f t="shared" si="242"/>
        <v>0.16502499999999998</v>
      </c>
      <c r="BU151" s="474">
        <f t="shared" si="213"/>
        <v>188.65308914285481</v>
      </c>
      <c r="BV151" s="181">
        <f t="shared" si="214"/>
        <v>0.44451455089224384</v>
      </c>
      <c r="BW151" s="6">
        <f t="shared" si="215"/>
        <v>2.8289999999999997</v>
      </c>
      <c r="BX151" s="181">
        <f t="shared" si="216"/>
        <v>0.86420877500877924</v>
      </c>
      <c r="BY151" s="6">
        <f t="shared" si="217"/>
        <v>86.420877500877921</v>
      </c>
      <c r="BZ151">
        <f t="shared" si="218"/>
        <v>41</v>
      </c>
      <c r="CB151" s="583">
        <f t="shared" si="243"/>
        <v>-50</v>
      </c>
      <c r="CC151">
        <f t="shared" si="244"/>
        <v>-50</v>
      </c>
    </row>
    <row r="152" spans="5:81" x14ac:dyDescent="0.2">
      <c r="E152" s="178">
        <v>42</v>
      </c>
      <c r="F152" s="225">
        <f t="shared" si="245"/>
        <v>0.126</v>
      </c>
      <c r="G152" s="225">
        <f t="shared" si="226"/>
        <v>0.126</v>
      </c>
      <c r="H152" s="225">
        <f t="shared" si="227"/>
        <v>1.8900000000000001</v>
      </c>
      <c r="I152" s="225">
        <f t="shared" si="228"/>
        <v>1.008</v>
      </c>
      <c r="J152" s="561">
        <f t="shared" si="163"/>
        <v>7</v>
      </c>
      <c r="K152" s="456">
        <f t="shared" si="164"/>
        <v>15.25</v>
      </c>
      <c r="L152" s="456">
        <f t="shared" si="165"/>
        <v>22.25</v>
      </c>
      <c r="M152" s="456"/>
      <c r="N152" s="225">
        <f t="shared" si="166"/>
        <v>0.6853932584269663</v>
      </c>
      <c r="O152" s="180">
        <f t="shared" si="229"/>
        <v>2.0416524181729359</v>
      </c>
      <c r="P152" s="180">
        <f t="shared" si="230"/>
        <v>1.6696179775280899</v>
      </c>
      <c r="Q152" s="225">
        <f t="shared" si="169"/>
        <v>0.13611016121152905</v>
      </c>
      <c r="R152" s="225">
        <f t="shared" si="231"/>
        <v>0.25520655227161698</v>
      </c>
      <c r="S152" s="225">
        <f t="shared" si="232"/>
        <v>15</v>
      </c>
      <c r="T152" s="225">
        <f t="shared" si="233"/>
        <v>1.3422950819672133</v>
      </c>
      <c r="U152" s="225">
        <f t="shared" si="173"/>
        <v>7.6702576112412189</v>
      </c>
      <c r="V152" s="225">
        <f t="shared" si="174"/>
        <v>3.5207739854877724</v>
      </c>
      <c r="W152" s="205">
        <f t="shared" si="175"/>
        <v>350</v>
      </c>
      <c r="X152" s="456">
        <f t="shared" si="176"/>
        <v>89.357267143476605</v>
      </c>
      <c r="Z152" s="225">
        <f t="shared" si="177"/>
        <v>0.34269662921348309</v>
      </c>
      <c r="AA152" s="181">
        <f t="shared" si="178"/>
        <v>0.89887640449438189</v>
      </c>
      <c r="AB152" s="181">
        <f t="shared" si="234"/>
        <v>3.5156957564646527E-2</v>
      </c>
      <c r="AC152" s="181"/>
      <c r="AD152" s="181">
        <f t="shared" si="180"/>
        <v>0.76065573770491812</v>
      </c>
      <c r="AE152" s="565">
        <f t="shared" si="235"/>
        <v>1142.3900118906065</v>
      </c>
      <c r="AF152" s="548">
        <f t="shared" si="236"/>
        <v>3.8603278688524589E-2</v>
      </c>
      <c r="AH152" s="181">
        <f t="shared" si="237"/>
        <v>0.64342831768581643</v>
      </c>
      <c r="AI152" s="181">
        <f t="shared" si="238"/>
        <v>1.3422950819672133</v>
      </c>
      <c r="AJ152" s="181">
        <f t="shared" si="239"/>
        <v>1.979477838494232</v>
      </c>
      <c r="AL152" s="565">
        <f t="shared" si="240"/>
        <v>126</v>
      </c>
      <c r="AM152" s="474">
        <f t="shared" si="241"/>
        <v>89.357267143476605</v>
      </c>
      <c r="AO152" s="474">
        <f t="shared" si="188"/>
        <v>126</v>
      </c>
      <c r="AP152" s="474">
        <f t="shared" si="189"/>
        <v>89.357267143476605</v>
      </c>
      <c r="AR152" s="6">
        <f t="shared" si="225"/>
        <v>11.191031596728992</v>
      </c>
      <c r="AS152" s="6">
        <f t="shared" si="222"/>
        <v>7.6702576112412189</v>
      </c>
      <c r="AT152" s="6">
        <f t="shared" si="223"/>
        <v>3.5207739854877733</v>
      </c>
      <c r="AU152" s="181">
        <f t="shared" si="224"/>
        <v>0.6853932584269663</v>
      </c>
      <c r="AW152" s="6">
        <f t="shared" si="193"/>
        <v>6.4430163934426234</v>
      </c>
      <c r="AX152" s="6">
        <f t="shared" si="194"/>
        <v>12.08065573770492</v>
      </c>
      <c r="AY152" s="6">
        <f t="shared" si="195"/>
        <v>1.7603869927438862</v>
      </c>
      <c r="AZ152" s="6"/>
      <c r="BA152" s="181">
        <f t="shared" si="196"/>
        <v>0.64158955607923152</v>
      </c>
      <c r="BB152" s="181">
        <f t="shared" si="197"/>
        <v>0.43468172711518921</v>
      </c>
      <c r="BC152" s="181">
        <f t="shared" si="198"/>
        <v>0.42853471279234812</v>
      </c>
      <c r="BD152" s="181"/>
      <c r="BE152" s="548">
        <f t="shared" si="199"/>
        <v>0.14407300546448087</v>
      </c>
      <c r="BF152" s="548">
        <f t="shared" si="200"/>
        <v>2.6687499999999999E-2</v>
      </c>
      <c r="BG152" s="548">
        <f t="shared" si="201"/>
        <v>1.1169658392934574E-3</v>
      </c>
      <c r="BH152" s="548">
        <f t="shared" si="202"/>
        <v>2.5436523437499998E-3</v>
      </c>
      <c r="BI152">
        <f t="shared" si="203"/>
        <v>2.0300000000000001E-3</v>
      </c>
      <c r="BJ152" s="474">
        <f t="shared" si="204"/>
        <v>176.45112364752435</v>
      </c>
      <c r="BK152" s="181">
        <f t="shared" si="205"/>
        <v>4.41E-2</v>
      </c>
      <c r="BL152" s="181">
        <f t="shared" si="206"/>
        <v>4.41E-2</v>
      </c>
      <c r="BM152" s="548"/>
      <c r="BO152" s="474">
        <f t="shared" si="207"/>
        <v>88.2</v>
      </c>
      <c r="BP152" s="548">
        <f t="shared" si="208"/>
        <v>0</v>
      </c>
      <c r="BQ152" s="548">
        <f t="shared" si="209"/>
        <v>0</v>
      </c>
      <c r="BR152" s="548">
        <f t="shared" si="210"/>
        <v>1.6527780006121824E-2</v>
      </c>
      <c r="BS152" s="548">
        <f t="shared" si="211"/>
        <v>7.8779767900822827E-3</v>
      </c>
      <c r="BT152" s="658">
        <f t="shared" si="242"/>
        <v>0.16905000000000003</v>
      </c>
      <c r="BU152" s="474">
        <f t="shared" si="213"/>
        <v>193.45575679620413</v>
      </c>
      <c r="BV152" s="181">
        <f t="shared" si="214"/>
        <v>0.45810688044372849</v>
      </c>
      <c r="BW152" s="6">
        <f t="shared" si="215"/>
        <v>2.8980000000000001</v>
      </c>
      <c r="BX152" s="181">
        <f t="shared" si="216"/>
        <v>0.86350050914255749</v>
      </c>
      <c r="BY152" s="6">
        <f t="shared" si="217"/>
        <v>86.350050914255746</v>
      </c>
      <c r="BZ152">
        <f t="shared" si="218"/>
        <v>42.000000000000007</v>
      </c>
      <c r="CB152" s="583">
        <f t="shared" si="243"/>
        <v>-50</v>
      </c>
      <c r="CC152">
        <f t="shared" si="244"/>
        <v>-50</v>
      </c>
    </row>
    <row r="153" spans="5:81" x14ac:dyDescent="0.2">
      <c r="E153" s="178">
        <v>43</v>
      </c>
      <c r="F153" s="225">
        <f t="shared" si="245"/>
        <v>0.129</v>
      </c>
      <c r="G153" s="225">
        <f t="shared" si="226"/>
        <v>0.129</v>
      </c>
      <c r="H153" s="225">
        <f t="shared" si="227"/>
        <v>1.9350000000000001</v>
      </c>
      <c r="I153" s="225">
        <f t="shared" si="228"/>
        <v>1.032</v>
      </c>
      <c r="J153" s="561">
        <f t="shared" si="163"/>
        <v>7</v>
      </c>
      <c r="K153" s="456">
        <f t="shared" si="164"/>
        <v>15.25</v>
      </c>
      <c r="L153" s="456">
        <f t="shared" si="165"/>
        <v>22.25</v>
      </c>
      <c r="M153" s="456"/>
      <c r="N153" s="225">
        <f t="shared" si="166"/>
        <v>0.6853932584269663</v>
      </c>
      <c r="O153" s="180">
        <f t="shared" si="229"/>
        <v>2.0416524181729359</v>
      </c>
      <c r="P153" s="180">
        <f t="shared" si="230"/>
        <v>1.6696179775280899</v>
      </c>
      <c r="Q153" s="225">
        <f t="shared" si="169"/>
        <v>0.13611016121152905</v>
      </c>
      <c r="R153" s="225">
        <f t="shared" si="231"/>
        <v>0.25520655227161698</v>
      </c>
      <c r="S153" s="225">
        <f t="shared" si="232"/>
        <v>15</v>
      </c>
      <c r="T153" s="225">
        <f t="shared" si="233"/>
        <v>1.3742544886807184</v>
      </c>
      <c r="U153" s="225">
        <f t="shared" si="173"/>
        <v>7.8528827924612488</v>
      </c>
      <c r="V153" s="225">
        <f t="shared" si="174"/>
        <v>3.6046019375231961</v>
      </c>
      <c r="W153" s="205">
        <f t="shared" si="175"/>
        <v>350</v>
      </c>
      <c r="X153" s="456">
        <f t="shared" si="176"/>
        <v>87.279191163395737</v>
      </c>
      <c r="Z153" s="225">
        <f t="shared" si="177"/>
        <v>0.34269662921348309</v>
      </c>
      <c r="AA153" s="181">
        <f t="shared" si="178"/>
        <v>0.89887640449438189</v>
      </c>
      <c r="AB153" s="181">
        <f t="shared" si="234"/>
        <v>3.5156957564646527E-2</v>
      </c>
      <c r="AC153" s="181"/>
      <c r="AD153" s="181">
        <f t="shared" si="180"/>
        <v>0.76065573770491812</v>
      </c>
      <c r="AE153" s="565">
        <f t="shared" si="235"/>
        <v>1169.5897740784781</v>
      </c>
      <c r="AF153" s="548">
        <f t="shared" si="236"/>
        <v>3.8603278688524589E-2</v>
      </c>
      <c r="AH153" s="181">
        <f t="shared" si="237"/>
        <v>0.65104311904599899</v>
      </c>
      <c r="AI153" s="181">
        <f t="shared" si="238"/>
        <v>1.3742544886807184</v>
      </c>
      <c r="AJ153" s="181">
        <f t="shared" si="239"/>
        <v>2.0031514730968283</v>
      </c>
      <c r="AL153" s="565">
        <f t="shared" si="240"/>
        <v>129</v>
      </c>
      <c r="AM153" s="474">
        <f t="shared" si="241"/>
        <v>87.279191163395737</v>
      </c>
      <c r="AO153" s="474">
        <f t="shared" si="188"/>
        <v>129</v>
      </c>
      <c r="AP153" s="474">
        <f t="shared" si="189"/>
        <v>87.279191163395737</v>
      </c>
      <c r="AR153" s="6">
        <f t="shared" si="225"/>
        <v>11.457484729984445</v>
      </c>
      <c r="AS153" s="6">
        <f t="shared" si="222"/>
        <v>7.8528827924612488</v>
      </c>
      <c r="AT153" s="6">
        <f t="shared" si="223"/>
        <v>3.6046019375231966</v>
      </c>
      <c r="AU153" s="181">
        <f t="shared" si="224"/>
        <v>0.6853932584269663</v>
      </c>
      <c r="AW153" s="6">
        <f t="shared" si="193"/>
        <v>6.753479201516674</v>
      </c>
      <c r="AX153" s="6">
        <f t="shared" si="194"/>
        <v>12.662773502843764</v>
      </c>
      <c r="AY153" s="6">
        <f t="shared" si="195"/>
        <v>1.8452128965892549</v>
      </c>
      <c r="AZ153" s="6"/>
      <c r="BA153" s="181">
        <f t="shared" si="196"/>
        <v>0.65686549789064186</v>
      </c>
      <c r="BB153" s="181">
        <f t="shared" si="197"/>
        <v>0.44503129204650327</v>
      </c>
      <c r="BC153" s="181">
        <f t="shared" si="198"/>
        <v>0.43873792023978497</v>
      </c>
      <c r="BD153" s="181"/>
      <c r="BE153" s="548">
        <f t="shared" si="199"/>
        <v>0.15101529881169229</v>
      </c>
      <c r="BF153" s="548">
        <f t="shared" si="200"/>
        <v>2.6687499999999996E-2</v>
      </c>
      <c r="BG153" s="548">
        <f t="shared" si="201"/>
        <v>1.0909898895424468E-3</v>
      </c>
      <c r="BH153" s="548">
        <f t="shared" si="202"/>
        <v>2.4844976380813946E-3</v>
      </c>
      <c r="BI153">
        <f t="shared" si="203"/>
        <v>2.0300000000000001E-3</v>
      </c>
      <c r="BJ153" s="474">
        <f t="shared" si="204"/>
        <v>183.30828633931614</v>
      </c>
      <c r="BK153" s="181">
        <f t="shared" si="205"/>
        <v>4.5149999999999996E-2</v>
      </c>
      <c r="BL153" s="181">
        <f t="shared" si="206"/>
        <v>4.5149999999999996E-2</v>
      </c>
      <c r="BM153" s="548"/>
      <c r="BO153" s="474">
        <f t="shared" si="207"/>
        <v>90.3</v>
      </c>
      <c r="BP153" s="548">
        <f t="shared" si="208"/>
        <v>0</v>
      </c>
      <c r="BQ153" s="548">
        <f t="shared" si="209"/>
        <v>0</v>
      </c>
      <c r="BR153" s="548">
        <f t="shared" si="210"/>
        <v>1.7324186639069872E-2</v>
      </c>
      <c r="BS153" s="548">
        <f t="shared" si="211"/>
        <v>7.8779767900822792E-3</v>
      </c>
      <c r="BT153" s="658">
        <f t="shared" si="242"/>
        <v>0.17307500000000003</v>
      </c>
      <c r="BU153" s="474">
        <f t="shared" si="213"/>
        <v>198.27716342915218</v>
      </c>
      <c r="BV153" s="181">
        <f t="shared" si="214"/>
        <v>0.4718854497684683</v>
      </c>
      <c r="BW153" s="6">
        <f t="shared" si="215"/>
        <v>2.9670000000000001</v>
      </c>
      <c r="BX153" s="181">
        <f t="shared" si="216"/>
        <v>0.86277953812034103</v>
      </c>
      <c r="BY153" s="6">
        <f t="shared" si="217"/>
        <v>86.277953812034099</v>
      </c>
      <c r="BZ153">
        <f t="shared" si="218"/>
        <v>43.000000000000007</v>
      </c>
      <c r="CB153" s="583">
        <f t="shared" si="243"/>
        <v>-50</v>
      </c>
      <c r="CC153">
        <f t="shared" si="244"/>
        <v>-50</v>
      </c>
    </row>
    <row r="154" spans="5:81" x14ac:dyDescent="0.2">
      <c r="E154" s="178">
        <v>44</v>
      </c>
      <c r="F154" s="225">
        <f t="shared" si="245"/>
        <v>0.13200000000000001</v>
      </c>
      <c r="G154" s="225">
        <f t="shared" si="226"/>
        <v>0.13200000000000001</v>
      </c>
      <c r="H154" s="225">
        <f t="shared" si="227"/>
        <v>1.98</v>
      </c>
      <c r="I154" s="225">
        <f t="shared" si="228"/>
        <v>1.056</v>
      </c>
      <c r="J154" s="561">
        <f t="shared" si="163"/>
        <v>7</v>
      </c>
      <c r="K154" s="456">
        <f t="shared" si="164"/>
        <v>15.25</v>
      </c>
      <c r="L154" s="456">
        <f t="shared" si="165"/>
        <v>22.25</v>
      </c>
      <c r="M154" s="456"/>
      <c r="N154" s="225">
        <f t="shared" si="166"/>
        <v>0.6853932584269663</v>
      </c>
      <c r="O154" s="180">
        <f t="shared" si="229"/>
        <v>2.0416524181729359</v>
      </c>
      <c r="P154" s="180">
        <f t="shared" si="230"/>
        <v>1.6696179775280899</v>
      </c>
      <c r="Q154" s="225">
        <f t="shared" si="169"/>
        <v>0.13611016121152905</v>
      </c>
      <c r="R154" s="225">
        <f t="shared" si="231"/>
        <v>0.25520655227161698</v>
      </c>
      <c r="S154" s="225">
        <f t="shared" si="232"/>
        <v>15</v>
      </c>
      <c r="T154" s="225">
        <f t="shared" si="233"/>
        <v>1.4062138953942234</v>
      </c>
      <c r="U154" s="225">
        <f t="shared" si="173"/>
        <v>8.0355079736812769</v>
      </c>
      <c r="V154" s="225">
        <f t="shared" si="174"/>
        <v>3.6884298895586189</v>
      </c>
      <c r="W154" s="205">
        <f t="shared" si="175"/>
        <v>350</v>
      </c>
      <c r="X154" s="456">
        <f t="shared" si="176"/>
        <v>85.29557318240947</v>
      </c>
      <c r="Z154" s="225">
        <f t="shared" si="177"/>
        <v>0.34269662921348309</v>
      </c>
      <c r="AA154" s="181">
        <f t="shared" si="178"/>
        <v>0.89887640449438189</v>
      </c>
      <c r="AB154" s="181">
        <f t="shared" si="234"/>
        <v>3.5156957564646527E-2</v>
      </c>
      <c r="AC154" s="181"/>
      <c r="AD154" s="181">
        <f t="shared" si="180"/>
        <v>0.76065573770491812</v>
      </c>
      <c r="AE154" s="565">
        <f t="shared" si="235"/>
        <v>1196.7895362663496</v>
      </c>
      <c r="AF154" s="548">
        <f t="shared" si="236"/>
        <v>3.8603278688524589E-2</v>
      </c>
      <c r="AH154" s="181">
        <f t="shared" si="237"/>
        <v>0.65856987914289378</v>
      </c>
      <c r="AI154" s="181">
        <f t="shared" si="238"/>
        <v>1.4062138953942234</v>
      </c>
      <c r="AJ154" s="181">
        <f t="shared" si="239"/>
        <v>2.0268251076994246</v>
      </c>
      <c r="AL154" s="565">
        <f t="shared" si="240"/>
        <v>132</v>
      </c>
      <c r="AM154" s="474">
        <f t="shared" si="241"/>
        <v>85.29557318240947</v>
      </c>
      <c r="AO154" s="474">
        <f t="shared" si="188"/>
        <v>132</v>
      </c>
      <c r="AP154" s="474">
        <f t="shared" si="189"/>
        <v>85.29557318240947</v>
      </c>
      <c r="AR154" s="6">
        <f t="shared" si="225"/>
        <v>11.723937863239899</v>
      </c>
      <c r="AS154" s="6">
        <f t="shared" si="222"/>
        <v>8.0355079736812769</v>
      </c>
      <c r="AT154" s="6">
        <f t="shared" si="223"/>
        <v>3.6884298895586216</v>
      </c>
      <c r="AU154" s="181">
        <f t="shared" si="224"/>
        <v>0.68539325842696608</v>
      </c>
      <c r="AW154" s="6">
        <f t="shared" si="193"/>
        <v>7.0712470168395249</v>
      </c>
      <c r="AX154" s="6">
        <f t="shared" si="194"/>
        <v>13.258588156574108</v>
      </c>
      <c r="AY154" s="6">
        <f t="shared" si="195"/>
        <v>1.9320347040545154</v>
      </c>
      <c r="AZ154" s="6"/>
      <c r="BA154" s="181">
        <f t="shared" si="196"/>
        <v>0.67214143970205198</v>
      </c>
      <c r="BB154" s="181">
        <f t="shared" si="197"/>
        <v>0.45538085697781738</v>
      </c>
      <c r="BC154" s="181">
        <f t="shared" si="198"/>
        <v>0.448941127687222</v>
      </c>
      <c r="BD154" s="181"/>
      <c r="BE154" s="548">
        <f t="shared" si="199"/>
        <v>0.15812094023766149</v>
      </c>
      <c r="BF154" s="548">
        <f t="shared" si="200"/>
        <v>2.6687499999999996E-2</v>
      </c>
      <c r="BG154" s="548">
        <f t="shared" si="201"/>
        <v>1.0661946647801184E-3</v>
      </c>
      <c r="BH154" s="548">
        <f t="shared" si="202"/>
        <v>2.4280317826704534E-3</v>
      </c>
      <c r="BI154">
        <f t="shared" si="203"/>
        <v>2.0300000000000001E-3</v>
      </c>
      <c r="BJ154" s="474">
        <f t="shared" si="204"/>
        <v>190.33266668511206</v>
      </c>
      <c r="BK154" s="181">
        <f t="shared" si="205"/>
        <v>4.6199999999999998E-2</v>
      </c>
      <c r="BL154" s="181">
        <f t="shared" si="206"/>
        <v>4.6199999999999998E-2</v>
      </c>
      <c r="BM154" s="548"/>
      <c r="BO154" s="474">
        <f t="shared" si="207"/>
        <v>92.399999999999991</v>
      </c>
      <c r="BP154" s="548">
        <f t="shared" si="208"/>
        <v>0</v>
      </c>
      <c r="BQ154" s="548">
        <f t="shared" si="209"/>
        <v>0</v>
      </c>
      <c r="BR154" s="548">
        <f t="shared" si="210"/>
        <v>1.8139332251616711E-2</v>
      </c>
      <c r="BS154" s="548">
        <f t="shared" si="211"/>
        <v>7.8779767900822844E-3</v>
      </c>
      <c r="BT154" s="658">
        <f t="shared" si="242"/>
        <v>0.17710000000000001</v>
      </c>
      <c r="BU154" s="474">
        <f t="shared" si="213"/>
        <v>203.117309041699</v>
      </c>
      <c r="BV154" s="181">
        <f t="shared" si="214"/>
        <v>0.4858499757268111</v>
      </c>
      <c r="BW154" s="6">
        <f t="shared" si="215"/>
        <v>3.036</v>
      </c>
      <c r="BX154" s="181">
        <f t="shared" si="216"/>
        <v>0.86204694150081018</v>
      </c>
      <c r="BY154" s="6">
        <f t="shared" si="217"/>
        <v>86.204694150081025</v>
      </c>
      <c r="BZ154">
        <f t="shared" si="218"/>
        <v>44.000000000000007</v>
      </c>
      <c r="CB154" s="583">
        <f t="shared" si="243"/>
        <v>-50</v>
      </c>
      <c r="CC154">
        <f t="shared" si="244"/>
        <v>-50</v>
      </c>
    </row>
    <row r="155" spans="5:81" x14ac:dyDescent="0.2">
      <c r="E155" s="178">
        <v>45</v>
      </c>
      <c r="F155" s="225">
        <f t="shared" si="245"/>
        <v>0.13500000000000001</v>
      </c>
      <c r="G155" s="225">
        <f t="shared" si="226"/>
        <v>0.13500000000000001</v>
      </c>
      <c r="H155" s="225">
        <f t="shared" si="227"/>
        <v>2.0250000000000004</v>
      </c>
      <c r="I155" s="225">
        <f t="shared" si="228"/>
        <v>1.08</v>
      </c>
      <c r="J155" s="561">
        <f t="shared" si="163"/>
        <v>7</v>
      </c>
      <c r="K155" s="456">
        <f t="shared" si="164"/>
        <v>15.25</v>
      </c>
      <c r="L155" s="456">
        <f t="shared" si="165"/>
        <v>22.25</v>
      </c>
      <c r="M155" s="456"/>
      <c r="N155" s="225">
        <f t="shared" si="166"/>
        <v>0.6853932584269663</v>
      </c>
      <c r="O155" s="180">
        <f t="shared" si="229"/>
        <v>2.0416524181729359</v>
      </c>
      <c r="P155" s="180">
        <f t="shared" si="230"/>
        <v>1.6696179775280899</v>
      </c>
      <c r="Q155" s="225">
        <f t="shared" si="169"/>
        <v>0.13611016121152905</v>
      </c>
      <c r="R155" s="225">
        <f t="shared" si="231"/>
        <v>0.25520655227161698</v>
      </c>
      <c r="S155" s="225">
        <f t="shared" si="232"/>
        <v>15</v>
      </c>
      <c r="T155" s="225">
        <f t="shared" si="233"/>
        <v>1.4381733021077285</v>
      </c>
      <c r="U155" s="225">
        <f t="shared" si="173"/>
        <v>8.2181331549013059</v>
      </c>
      <c r="V155" s="225">
        <f t="shared" si="174"/>
        <v>3.7722578415940426</v>
      </c>
      <c r="W155" s="205">
        <f t="shared" si="175"/>
        <v>350</v>
      </c>
      <c r="X155" s="456">
        <f t="shared" si="176"/>
        <v>83.400116000578166</v>
      </c>
      <c r="Z155" s="225">
        <f t="shared" si="177"/>
        <v>0.34269662921348309</v>
      </c>
      <c r="AA155" s="181">
        <f t="shared" si="178"/>
        <v>0.89887640449438189</v>
      </c>
      <c r="AB155" s="181">
        <f t="shared" si="234"/>
        <v>3.5156957564646527E-2</v>
      </c>
      <c r="AC155" s="181"/>
      <c r="AD155" s="181">
        <f t="shared" si="180"/>
        <v>0.76065573770491812</v>
      </c>
      <c r="AE155" s="565">
        <f t="shared" si="235"/>
        <v>1223.9892984542212</v>
      </c>
      <c r="AF155" s="548">
        <f t="shared" si="236"/>
        <v>3.8603278688524589E-2</v>
      </c>
      <c r="AH155" s="181">
        <f t="shared" si="237"/>
        <v>0.66601158291085938</v>
      </c>
      <c r="AI155" s="181">
        <f t="shared" si="238"/>
        <v>1.4381733021077285</v>
      </c>
      <c r="AJ155" s="181">
        <f t="shared" si="239"/>
        <v>2.0504987423020209</v>
      </c>
      <c r="AL155" s="565">
        <f t="shared" si="240"/>
        <v>135</v>
      </c>
      <c r="AM155" s="474">
        <f t="shared" si="241"/>
        <v>83.400116000578166</v>
      </c>
      <c r="AO155" s="474">
        <f t="shared" si="188"/>
        <v>135</v>
      </c>
      <c r="AP155" s="474">
        <f t="shared" si="189"/>
        <v>83.400116000578166</v>
      </c>
      <c r="AR155" s="6">
        <f t="shared" si="225"/>
        <v>11.990390996495348</v>
      </c>
      <c r="AS155" s="6">
        <f t="shared" si="222"/>
        <v>8.2181331549013059</v>
      </c>
      <c r="AT155" s="6">
        <f t="shared" si="223"/>
        <v>3.7722578415940422</v>
      </c>
      <c r="AU155" s="181">
        <f t="shared" si="224"/>
        <v>0.6853932584269663</v>
      </c>
      <c r="AW155" s="6">
        <f t="shared" si="193"/>
        <v>7.3963198394111762</v>
      </c>
      <c r="AX155" s="6">
        <f t="shared" si="194"/>
        <v>13.868099698895955</v>
      </c>
      <c r="AY155" s="6">
        <f t="shared" si="195"/>
        <v>2.0208524151396658</v>
      </c>
      <c r="AZ155" s="6"/>
      <c r="BA155" s="181">
        <f t="shared" si="196"/>
        <v>0.68741738151346243</v>
      </c>
      <c r="BB155" s="181">
        <f t="shared" si="197"/>
        <v>0.46573042190913133</v>
      </c>
      <c r="BC155" s="181">
        <f t="shared" si="198"/>
        <v>0.45914433513465874</v>
      </c>
      <c r="BD155" s="181"/>
      <c r="BE155" s="548">
        <f t="shared" si="199"/>
        <v>0.16538992974238881</v>
      </c>
      <c r="BF155" s="548">
        <f t="shared" si="200"/>
        <v>2.6687499999999999E-2</v>
      </c>
      <c r="BG155" s="548">
        <f t="shared" si="201"/>
        <v>1.0425014500072269E-3</v>
      </c>
      <c r="BH155" s="548">
        <f t="shared" si="202"/>
        <v>2.3740755208333329E-3</v>
      </c>
      <c r="BI155">
        <f t="shared" si="203"/>
        <v>2.0300000000000001E-3</v>
      </c>
      <c r="BJ155" s="474">
        <f t="shared" si="204"/>
        <v>197.52400671322937</v>
      </c>
      <c r="BK155" s="181">
        <f t="shared" si="205"/>
        <v>4.725E-2</v>
      </c>
      <c r="BL155" s="181">
        <f t="shared" si="206"/>
        <v>4.725E-2</v>
      </c>
      <c r="BM155" s="548"/>
      <c r="BO155" s="474">
        <f t="shared" si="207"/>
        <v>94.5</v>
      </c>
      <c r="BP155" s="548">
        <f t="shared" si="208"/>
        <v>0</v>
      </c>
      <c r="BQ155" s="548">
        <f t="shared" si="209"/>
        <v>0</v>
      </c>
      <c r="BR155" s="548">
        <f t="shared" si="210"/>
        <v>1.8973216843762304E-2</v>
      </c>
      <c r="BS155" s="548">
        <f t="shared" si="211"/>
        <v>7.8779767900822931E-3</v>
      </c>
      <c r="BT155" s="658">
        <f t="shared" si="242"/>
        <v>0.18112500000000004</v>
      </c>
      <c r="BU155" s="474">
        <f t="shared" si="213"/>
        <v>207.97619363384462</v>
      </c>
      <c r="BV155" s="181">
        <f t="shared" si="214"/>
        <v>0.50000020034707404</v>
      </c>
      <c r="BW155" s="6">
        <f t="shared" si="215"/>
        <v>3.1050000000000004</v>
      </c>
      <c r="BX155" s="181">
        <f t="shared" si="216"/>
        <v>0.86130369693212883</v>
      </c>
      <c r="BY155" s="6">
        <f t="shared" si="217"/>
        <v>86.130369693212884</v>
      </c>
      <c r="BZ155">
        <f t="shared" si="218"/>
        <v>45.000000000000007</v>
      </c>
      <c r="CB155" s="583">
        <f t="shared" si="243"/>
        <v>83.400116000578166</v>
      </c>
      <c r="CC155">
        <f t="shared" si="244"/>
        <v>3.196530912132058</v>
      </c>
    </row>
    <row r="156" spans="5:81" s="78" customFormat="1" x14ac:dyDescent="0.2">
      <c r="E156" s="197">
        <v>46</v>
      </c>
      <c r="F156" s="337">
        <f t="shared" si="245"/>
        <v>0.13800000000000001</v>
      </c>
      <c r="G156" s="225">
        <f t="shared" si="226"/>
        <v>0.13800000000000001</v>
      </c>
      <c r="H156" s="337">
        <f t="shared" si="227"/>
        <v>2.0700000000000003</v>
      </c>
      <c r="I156" s="225">
        <f t="shared" si="228"/>
        <v>1.1040000000000001</v>
      </c>
      <c r="J156" s="561">
        <f t="shared" si="163"/>
        <v>7</v>
      </c>
      <c r="K156" s="555">
        <f t="shared" si="164"/>
        <v>15.044582740383593</v>
      </c>
      <c r="L156" s="555">
        <f t="shared" si="165"/>
        <v>22.25</v>
      </c>
      <c r="M156" s="555"/>
      <c r="N156" s="337">
        <f t="shared" si="166"/>
        <v>0.6853932584269663</v>
      </c>
      <c r="O156" s="180">
        <f t="shared" si="229"/>
        <v>2.0416524181729359</v>
      </c>
      <c r="P156" s="180">
        <f t="shared" si="230"/>
        <v>1.6696179775280899</v>
      </c>
      <c r="Q156" s="337">
        <f t="shared" si="169"/>
        <v>0.13611016121152905</v>
      </c>
      <c r="R156" s="225">
        <f t="shared" si="231"/>
        <v>0.25520655227161698</v>
      </c>
      <c r="S156" s="337">
        <f t="shared" si="232"/>
        <v>14.794582740383593</v>
      </c>
      <c r="T156" s="225">
        <f t="shared" si="233"/>
        <v>1.45</v>
      </c>
      <c r="U156" s="337">
        <f t="shared" si="173"/>
        <v>8.2857142857142847</v>
      </c>
      <c r="V156" s="337">
        <f t="shared" si="174"/>
        <v>3.8552082833319687</v>
      </c>
      <c r="W156" s="557">
        <f t="shared" si="175"/>
        <v>350</v>
      </c>
      <c r="X156" s="555">
        <f t="shared" si="176"/>
        <v>82.366063560073954</v>
      </c>
      <c r="Z156" s="337">
        <f t="shared" si="177"/>
        <v>0.34123083474887772</v>
      </c>
      <c r="AA156" s="558">
        <f t="shared" si="178"/>
        <v>0.90725237286355576</v>
      </c>
      <c r="AB156" s="181">
        <f t="shared" si="234"/>
        <v>3.5332783559362799E-2</v>
      </c>
      <c r="AC156" s="558"/>
      <c r="AD156" s="558">
        <f t="shared" si="180"/>
        <v>0.7710416566663939</v>
      </c>
      <c r="AE156" s="565">
        <f t="shared" si="235"/>
        <v>1234.3355637175598</v>
      </c>
      <c r="AF156" s="548">
        <f t="shared" si="236"/>
        <v>3.9130364075819483E-2</v>
      </c>
      <c r="AH156" s="181">
        <f t="shared" si="237"/>
        <v>0.67337105033448785</v>
      </c>
      <c r="AI156" s="558">
        <f t="shared" si="238"/>
        <v>1.45</v>
      </c>
      <c r="AJ156" s="558">
        <f t="shared" si="239"/>
        <v>2.0592592592592593</v>
      </c>
      <c r="AL156" s="585">
        <f t="shared" si="240"/>
        <v>138</v>
      </c>
      <c r="AM156" s="586">
        <f t="shared" si="241"/>
        <v>82.366063560073954</v>
      </c>
      <c r="AO156" s="78" t="str">
        <f t="shared" si="188"/>
        <v/>
      </c>
      <c r="AP156" s="78" t="str">
        <f t="shared" si="189"/>
        <v/>
      </c>
      <c r="AR156" s="554">
        <f t="shared" si="225"/>
        <v>12.140922569046253</v>
      </c>
      <c r="AS156" s="6">
        <f t="shared" si="222"/>
        <v>8.2857142857142847</v>
      </c>
      <c r="AT156" s="6">
        <f t="shared" si="223"/>
        <v>3.8552082833319687</v>
      </c>
      <c r="AU156" s="181">
        <f t="shared" si="224"/>
        <v>0.68246166949775544</v>
      </c>
      <c r="AW156" s="6">
        <f t="shared" si="193"/>
        <v>7.6228571428571428</v>
      </c>
      <c r="AX156" s="6">
        <f t="shared" si="194"/>
        <v>14.292857142857144</v>
      </c>
      <c r="AY156" s="6">
        <f t="shared" si="195"/>
        <v>2.1111854884913162</v>
      </c>
      <c r="AZ156" s="6"/>
      <c r="BA156" s="181">
        <f t="shared" si="196"/>
        <v>0.69158649980052644</v>
      </c>
      <c r="BB156" s="181">
        <f t="shared" si="197"/>
        <v>0.47174298789382102</v>
      </c>
      <c r="BC156" s="181">
        <f t="shared" si="198"/>
        <v>0.46507187493370633</v>
      </c>
      <c r="BD156" s="181"/>
      <c r="BE156" s="548">
        <f t="shared" si="199"/>
        <v>0.16740216034722022</v>
      </c>
      <c r="BF156" s="548">
        <f t="shared" si="200"/>
        <v>2.6573351256068852E-2</v>
      </c>
      <c r="BG156" s="548">
        <f t="shared" si="201"/>
        <v>1.0295757945009245E-3</v>
      </c>
      <c r="BH156" s="548">
        <f t="shared" si="202"/>
        <v>2.3446400871195237E-3</v>
      </c>
      <c r="BI156">
        <f t="shared" si="203"/>
        <v>2.0300000000000001E-3</v>
      </c>
      <c r="BJ156" s="474">
        <f t="shared" si="204"/>
        <v>199.37972748490949</v>
      </c>
      <c r="BK156" s="181">
        <f t="shared" si="205"/>
        <v>4.8300000000000003E-2</v>
      </c>
      <c r="BL156" s="181">
        <f t="shared" si="206"/>
        <v>4.8300000000000003E-2</v>
      </c>
      <c r="BM156" s="548"/>
      <c r="BN156"/>
      <c r="BO156" s="474">
        <f t="shared" si="207"/>
        <v>96.600000000000009</v>
      </c>
      <c r="BP156" s="548">
        <f t="shared" si="208"/>
        <v>0</v>
      </c>
      <c r="BQ156" s="548">
        <f t="shared" si="209"/>
        <v>0</v>
      </c>
      <c r="BR156" s="548">
        <f t="shared" si="210"/>
        <v>1.9466266396891769E-2</v>
      </c>
      <c r="BS156" s="548">
        <f t="shared" si="211"/>
        <v>7.794006911999809E-3</v>
      </c>
      <c r="BT156" s="658">
        <f t="shared" si="242"/>
        <v>0.1818333810668083</v>
      </c>
      <c r="BU156" s="474">
        <f t="shared" si="213"/>
        <v>209.09365437569988</v>
      </c>
      <c r="BV156" s="181">
        <f t="shared" si="214"/>
        <v>0.50507338186060946</v>
      </c>
      <c r="BW156" s="6">
        <f t="shared" si="215"/>
        <v>3.1740000000000004</v>
      </c>
      <c r="BX156" s="181">
        <f t="shared" si="216"/>
        <v>0.86271723082479546</v>
      </c>
      <c r="BY156" s="6">
        <f t="shared" si="217"/>
        <v>86.271723082479539</v>
      </c>
      <c r="BZ156">
        <f t="shared" si="218"/>
        <v>46.000000000000007</v>
      </c>
      <c r="CB156" s="583">
        <f t="shared" si="243"/>
        <v>-50</v>
      </c>
      <c r="CC156">
        <f t="shared" si="244"/>
        <v>-50</v>
      </c>
    </row>
    <row r="157" spans="5:81" x14ac:dyDescent="0.2">
      <c r="E157" s="178">
        <v>47</v>
      </c>
      <c r="F157" s="225">
        <f t="shared" si="245"/>
        <v>0.14099999999999999</v>
      </c>
      <c r="G157" s="225">
        <f t="shared" si="226"/>
        <v>0.14099999999999999</v>
      </c>
      <c r="H157" s="225">
        <f t="shared" si="227"/>
        <v>2.1149999999999998</v>
      </c>
      <c r="I157" s="225">
        <f t="shared" si="228"/>
        <v>1.1279999999999999</v>
      </c>
      <c r="J157" s="561">
        <f t="shared" si="163"/>
        <v>7</v>
      </c>
      <c r="K157" s="456">
        <f t="shared" si="164"/>
        <v>14.72980438420522</v>
      </c>
      <c r="L157" s="456">
        <f t="shared" si="165"/>
        <v>22.25</v>
      </c>
      <c r="M157" s="456"/>
      <c r="N157" s="225">
        <f t="shared" si="166"/>
        <v>0.6853932584269663</v>
      </c>
      <c r="O157" s="180">
        <f t="shared" si="229"/>
        <v>2.0416524181729359</v>
      </c>
      <c r="P157" s="180">
        <f t="shared" si="230"/>
        <v>1.6696179775280899</v>
      </c>
      <c r="Q157" s="225">
        <f t="shared" si="169"/>
        <v>0.13611016121152905</v>
      </c>
      <c r="R157" s="225">
        <f t="shared" si="231"/>
        <v>0.25520655227161698</v>
      </c>
      <c r="S157" s="225">
        <f t="shared" si="232"/>
        <v>14.47980438420522</v>
      </c>
      <c r="T157" s="225">
        <f t="shared" si="233"/>
        <v>1.45</v>
      </c>
      <c r="U157" s="225">
        <f t="shared" si="173"/>
        <v>8.2857142857142847</v>
      </c>
      <c r="V157" s="225">
        <f t="shared" si="174"/>
        <v>3.9375947220448797</v>
      </c>
      <c r="W157" s="205">
        <f t="shared" si="175"/>
        <v>350</v>
      </c>
      <c r="X157" s="456">
        <f t="shared" si="176"/>
        <v>81.810907289115875</v>
      </c>
      <c r="Z157" s="225">
        <f t="shared" si="177"/>
        <v>0.3389309016263371</v>
      </c>
      <c r="AA157" s="181">
        <f t="shared" si="178"/>
        <v>0.92039484784950154</v>
      </c>
      <c r="AB157" s="181">
        <f t="shared" si="234"/>
        <v>3.5603018306039159E-2</v>
      </c>
      <c r="AC157" s="181"/>
      <c r="AD157" s="181">
        <f t="shared" si="180"/>
        <v>0.78751894440897596</v>
      </c>
      <c r="AE157" s="565">
        <f t="shared" si="235"/>
        <v>1234.7814614583447</v>
      </c>
      <c r="AF157" s="548">
        <f t="shared" si="236"/>
        <v>3.9966586428755529E-2</v>
      </c>
      <c r="AH157" s="181">
        <f t="shared" si="237"/>
        <v>0.68065094893470479</v>
      </c>
      <c r="AI157" s="181">
        <f t="shared" si="238"/>
        <v>1.45</v>
      </c>
      <c r="AJ157" s="181">
        <f t="shared" si="239"/>
        <v>2.0592592592592593</v>
      </c>
      <c r="AL157" s="565">
        <f t="shared" si="240"/>
        <v>141</v>
      </c>
      <c r="AM157" s="474">
        <f t="shared" si="241"/>
        <v>81.810907289115875</v>
      </c>
      <c r="AO157" t="str">
        <f t="shared" si="188"/>
        <v/>
      </c>
      <c r="AP157" t="str">
        <f t="shared" si="189"/>
        <v/>
      </c>
      <c r="AR157" s="6">
        <f t="shared" si="225"/>
        <v>12.223309007759164</v>
      </c>
      <c r="AS157" s="6">
        <f t="shared" si="222"/>
        <v>8.2857142857142847</v>
      </c>
      <c r="AT157" s="6">
        <f t="shared" si="223"/>
        <v>3.9375947220448797</v>
      </c>
      <c r="AU157" s="181">
        <f t="shared" si="224"/>
        <v>0.67786180325267431</v>
      </c>
      <c r="AW157" s="6">
        <f t="shared" si="193"/>
        <v>7.7885714285714256</v>
      </c>
      <c r="AX157" s="6">
        <f t="shared" si="194"/>
        <v>14.603571428571424</v>
      </c>
      <c r="AY157" s="6">
        <f t="shared" si="195"/>
        <v>2.2031779992393963</v>
      </c>
      <c r="AZ157" s="6"/>
      <c r="BA157" s="181">
        <f t="shared" si="196"/>
        <v>0.6892518749433445</v>
      </c>
      <c r="BB157" s="181">
        <f t="shared" si="197"/>
        <v>0.47514754152833139</v>
      </c>
      <c r="BC157" s="181">
        <f t="shared" si="198"/>
        <v>0.46842828336530445</v>
      </c>
      <c r="BD157" s="181"/>
      <c r="BE157" s="548">
        <f t="shared" si="199"/>
        <v>0.16627385148952051</v>
      </c>
      <c r="BF157" s="548">
        <f t="shared" si="200"/>
        <v>2.6394243964151003E-2</v>
      </c>
      <c r="BG157" s="548">
        <f t="shared" si="201"/>
        <v>1.0226363411139484E-3</v>
      </c>
      <c r="BH157" s="548">
        <f t="shared" si="202"/>
        <v>2.3288369566645305E-3</v>
      </c>
      <c r="BI157">
        <f t="shared" si="203"/>
        <v>2.0300000000000001E-3</v>
      </c>
      <c r="BJ157" s="474">
        <f t="shared" si="204"/>
        <v>198.04956875144995</v>
      </c>
      <c r="BK157" s="181">
        <f t="shared" si="205"/>
        <v>4.9349999999999991E-2</v>
      </c>
      <c r="BL157" s="181">
        <f t="shared" si="206"/>
        <v>4.9349999999999991E-2</v>
      </c>
      <c r="BM157" s="548"/>
      <c r="BO157" s="474">
        <f t="shared" si="207"/>
        <v>98.699999999999989</v>
      </c>
      <c r="BP157" s="548">
        <f t="shared" si="208"/>
        <v>0</v>
      </c>
      <c r="BQ157" s="548">
        <f t="shared" si="209"/>
        <v>0</v>
      </c>
      <c r="BR157" s="548">
        <f t="shared" si="210"/>
        <v>1.9748255099090936E-2</v>
      </c>
      <c r="BS157" s="548">
        <f t="shared" si="211"/>
        <v>7.6633389091300425E-3</v>
      </c>
      <c r="BT157" s="658">
        <f t="shared" si="242"/>
        <v>0.18060780420413447</v>
      </c>
      <c r="BU157" s="474">
        <f t="shared" si="213"/>
        <v>208.01939821235544</v>
      </c>
      <c r="BV157" s="181">
        <f t="shared" si="214"/>
        <v>0.50476896696380547</v>
      </c>
      <c r="BW157" s="6">
        <f t="shared" si="215"/>
        <v>3.2429999999999994</v>
      </c>
      <c r="BX157" s="181">
        <f t="shared" si="216"/>
        <v>0.86531481224875617</v>
      </c>
      <c r="BY157" s="6">
        <f t="shared" si="217"/>
        <v>86.53148122487562</v>
      </c>
      <c r="BZ157">
        <f t="shared" si="218"/>
        <v>47</v>
      </c>
      <c r="CB157" s="583">
        <f t="shared" si="243"/>
        <v>-50</v>
      </c>
      <c r="CC157">
        <f t="shared" si="244"/>
        <v>-50</v>
      </c>
    </row>
    <row r="158" spans="5:81" x14ac:dyDescent="0.2">
      <c r="E158" s="178">
        <v>48</v>
      </c>
      <c r="F158" s="225">
        <f t="shared" si="245"/>
        <v>0.14399999999999999</v>
      </c>
      <c r="G158" s="225">
        <f t="shared" si="226"/>
        <v>0.14399999999999999</v>
      </c>
      <c r="H158" s="225">
        <f t="shared" si="227"/>
        <v>2.1599999999999997</v>
      </c>
      <c r="I158" s="225">
        <f t="shared" si="228"/>
        <v>1.1519999999999999</v>
      </c>
      <c r="J158" s="561">
        <f t="shared" si="163"/>
        <v>7</v>
      </c>
      <c r="K158" s="456">
        <f t="shared" si="164"/>
        <v>14.428141792867612</v>
      </c>
      <c r="L158" s="456">
        <f t="shared" si="165"/>
        <v>22.25</v>
      </c>
      <c r="M158" s="456"/>
      <c r="N158" s="225">
        <f t="shared" si="166"/>
        <v>0.6853932584269663</v>
      </c>
      <c r="O158" s="180">
        <f t="shared" si="229"/>
        <v>2.0416524181729359</v>
      </c>
      <c r="P158" s="180">
        <f t="shared" si="230"/>
        <v>1.6696179775280899</v>
      </c>
      <c r="Q158" s="225">
        <f t="shared" si="169"/>
        <v>0.13611016121152905</v>
      </c>
      <c r="R158" s="225">
        <f t="shared" si="231"/>
        <v>0.25520655227161698</v>
      </c>
      <c r="S158" s="225">
        <f t="shared" si="232"/>
        <v>14.178141792867612</v>
      </c>
      <c r="T158" s="225">
        <f t="shared" si="233"/>
        <v>1.45</v>
      </c>
      <c r="U158" s="225">
        <f t="shared" si="173"/>
        <v>8.2857142857142847</v>
      </c>
      <c r="V158" s="225">
        <f t="shared" si="174"/>
        <v>4.0199216803283457</v>
      </c>
      <c r="W158" s="205">
        <f t="shared" si="175"/>
        <v>350</v>
      </c>
      <c r="X158" s="456">
        <f t="shared" si="176"/>
        <v>81.263577336392643</v>
      </c>
      <c r="Z158" s="225">
        <f t="shared" si="177"/>
        <v>0.33666339182219795</v>
      </c>
      <c r="AA158" s="181">
        <f t="shared" si="178"/>
        <v>0.93335204673029681</v>
      </c>
      <c r="AB158" s="181">
        <f t="shared" si="234"/>
        <v>3.586268903339488E-2</v>
      </c>
      <c r="AC158" s="181"/>
      <c r="AD158" s="181">
        <f t="shared" si="180"/>
        <v>0.80398433606566921</v>
      </c>
      <c r="AE158" s="565">
        <f t="shared" si="235"/>
        <v>1235.2273591991295</v>
      </c>
      <c r="AF158" s="548">
        <f t="shared" si="236"/>
        <v>4.0802205055332705E-2</v>
      </c>
      <c r="AH158" s="181">
        <f t="shared" si="237"/>
        <v>0.68785380506533289</v>
      </c>
      <c r="AI158" s="181">
        <f t="shared" si="238"/>
        <v>1.45</v>
      </c>
      <c r="AJ158" s="181">
        <f t="shared" si="239"/>
        <v>2.0592592592592593</v>
      </c>
      <c r="AL158" s="565">
        <f t="shared" si="240"/>
        <v>144</v>
      </c>
      <c r="AM158" s="474">
        <f t="shared" si="241"/>
        <v>81.263577336392643</v>
      </c>
      <c r="AO158" t="str">
        <f t="shared" si="188"/>
        <v/>
      </c>
      <c r="AP158" t="str">
        <f t="shared" si="189"/>
        <v/>
      </c>
      <c r="AR158" s="6">
        <f t="shared" si="225"/>
        <v>12.30563596604263</v>
      </c>
      <c r="AS158" s="6">
        <f t="shared" si="222"/>
        <v>8.2857142857142847</v>
      </c>
      <c r="AT158" s="6">
        <f t="shared" si="223"/>
        <v>4.0199216803283448</v>
      </c>
      <c r="AU158" s="181">
        <f t="shared" si="224"/>
        <v>0.67332678364439613</v>
      </c>
      <c r="AW158" s="6">
        <f t="shared" si="193"/>
        <v>7.954285714285712</v>
      </c>
      <c r="AX158" s="6">
        <f t="shared" si="194"/>
        <v>14.914285714285709</v>
      </c>
      <c r="AY158" s="6">
        <f t="shared" si="195"/>
        <v>2.2970981030447679</v>
      </c>
      <c r="AZ158" s="6"/>
      <c r="BA158" s="181">
        <f t="shared" si="196"/>
        <v>0.68694239511338517</v>
      </c>
      <c r="BB158" s="181">
        <f t="shared" si="197"/>
        <v>0.47848038531293946</v>
      </c>
      <c r="BC158" s="181">
        <f t="shared" si="198"/>
        <v>0.47171399602568576</v>
      </c>
      <c r="BD158" s="181"/>
      <c r="BE158" s="548">
        <f t="shared" si="199"/>
        <v>0.16516144897143994</v>
      </c>
      <c r="BF158" s="548">
        <f t="shared" si="200"/>
        <v>2.6217661638153672E-2</v>
      </c>
      <c r="BG158" s="548">
        <f t="shared" si="201"/>
        <v>1.0157947167049081E-3</v>
      </c>
      <c r="BH158" s="548">
        <f t="shared" si="202"/>
        <v>2.3132566109181282E-3</v>
      </c>
      <c r="BI158">
        <f t="shared" si="203"/>
        <v>2.0300000000000001E-3</v>
      </c>
      <c r="BJ158" s="474">
        <f t="shared" si="204"/>
        <v>196.73816193721666</v>
      </c>
      <c r="BK158" s="181">
        <f t="shared" si="205"/>
        <v>5.0399999999999993E-2</v>
      </c>
      <c r="BL158" s="181">
        <f t="shared" si="206"/>
        <v>5.0399999999999993E-2</v>
      </c>
      <c r="BM158" s="548"/>
      <c r="BO158" s="474">
        <f t="shared" si="207"/>
        <v>100.79999999999998</v>
      </c>
      <c r="BP158" s="548">
        <f t="shared" si="208"/>
        <v>0</v>
      </c>
      <c r="BQ158" s="548">
        <f t="shared" si="209"/>
        <v>0</v>
      </c>
      <c r="BR158" s="548">
        <f t="shared" si="210"/>
        <v>2.0026268464186859E-2</v>
      </c>
      <c r="BS158" s="548">
        <f t="shared" si="211"/>
        <v>7.5358084643746201E-3</v>
      </c>
      <c r="BT158" s="658">
        <f t="shared" si="242"/>
        <v>0.17939950491725382</v>
      </c>
      <c r="BU158" s="474">
        <f t="shared" si="213"/>
        <v>206.96158184581529</v>
      </c>
      <c r="BV158" s="181">
        <f t="shared" si="214"/>
        <v>0.50449974378303197</v>
      </c>
      <c r="BW158" s="6">
        <f t="shared" si="215"/>
        <v>3.3119999999999994</v>
      </c>
      <c r="BX158" s="181">
        <f t="shared" si="216"/>
        <v>0.86781087969287884</v>
      </c>
      <c r="BY158" s="6">
        <f t="shared" si="217"/>
        <v>86.781087969287881</v>
      </c>
      <c r="BZ158">
        <f t="shared" si="218"/>
        <v>48</v>
      </c>
      <c r="CB158" s="583">
        <f t="shared" si="243"/>
        <v>-50</v>
      </c>
      <c r="CC158">
        <f t="shared" si="244"/>
        <v>-50</v>
      </c>
    </row>
    <row r="159" spans="5:81" x14ac:dyDescent="0.2">
      <c r="E159" s="178">
        <v>49</v>
      </c>
      <c r="F159" s="225">
        <f t="shared" si="245"/>
        <v>0.14699999999999999</v>
      </c>
      <c r="G159" s="225">
        <f t="shared" si="226"/>
        <v>0.14699999999999999</v>
      </c>
      <c r="H159" s="225">
        <f t="shared" si="227"/>
        <v>2.2050000000000001</v>
      </c>
      <c r="I159" s="225">
        <f t="shared" si="228"/>
        <v>1.1759999999999999</v>
      </c>
      <c r="J159" s="561">
        <f t="shared" si="163"/>
        <v>7</v>
      </c>
      <c r="K159" s="456">
        <f t="shared" si="164"/>
        <v>14.138791960360109</v>
      </c>
      <c r="L159" s="456">
        <f t="shared" si="165"/>
        <v>22.25</v>
      </c>
      <c r="M159" s="456"/>
      <c r="N159" s="225">
        <f t="shared" si="166"/>
        <v>0.6853932584269663</v>
      </c>
      <c r="O159" s="180">
        <f t="shared" si="229"/>
        <v>2.0416524181729359</v>
      </c>
      <c r="P159" s="180">
        <f t="shared" si="230"/>
        <v>1.6696179775280899</v>
      </c>
      <c r="Q159" s="225">
        <f t="shared" si="169"/>
        <v>0.13611016121152905</v>
      </c>
      <c r="R159" s="225">
        <f t="shared" si="231"/>
        <v>0.25520655227161698</v>
      </c>
      <c r="S159" s="225">
        <f t="shared" si="232"/>
        <v>13.888791960360109</v>
      </c>
      <c r="T159" s="225">
        <f t="shared" si="233"/>
        <v>1.45</v>
      </c>
      <c r="U159" s="225">
        <f t="shared" si="173"/>
        <v>8.2857142857142847</v>
      </c>
      <c r="V159" s="225">
        <f t="shared" si="174"/>
        <v>4.1021892225736361</v>
      </c>
      <c r="W159" s="205">
        <f t="shared" si="175"/>
        <v>350</v>
      </c>
      <c r="X159" s="456">
        <f t="shared" si="176"/>
        <v>80.723909362949655</v>
      </c>
      <c r="Z159" s="225">
        <f t="shared" si="177"/>
        <v>0.33442762450364849</v>
      </c>
      <c r="AA159" s="181">
        <f t="shared" si="178"/>
        <v>0.94612785997915128</v>
      </c>
      <c r="AB159" s="181">
        <f t="shared" si="234"/>
        <v>3.6112158404785377E-2</v>
      </c>
      <c r="AC159" s="181"/>
      <c r="AD159" s="181">
        <f t="shared" si="180"/>
        <v>0.82043784451472712</v>
      </c>
      <c r="AE159" s="565">
        <f t="shared" si="235"/>
        <v>1235.6732569399144</v>
      </c>
      <c r="AF159" s="548">
        <f t="shared" si="236"/>
        <v>4.1637220609122401E-2</v>
      </c>
      <c r="AH159" s="181">
        <f t="shared" si="237"/>
        <v>0.69498201415576211</v>
      </c>
      <c r="AI159" s="181">
        <f t="shared" si="238"/>
        <v>1.45</v>
      </c>
      <c r="AJ159" s="181">
        <f t="shared" si="239"/>
        <v>2.0592592592592593</v>
      </c>
      <c r="AL159" s="565">
        <f t="shared" si="240"/>
        <v>147</v>
      </c>
      <c r="AM159" s="474">
        <f t="shared" si="241"/>
        <v>80.723909362949655</v>
      </c>
      <c r="AO159" t="str">
        <f t="shared" si="188"/>
        <v/>
      </c>
      <c r="AP159" t="str">
        <f t="shared" si="189"/>
        <v/>
      </c>
      <c r="AR159" s="6">
        <f t="shared" si="225"/>
        <v>12.38790350828792</v>
      </c>
      <c r="AS159" s="6">
        <f t="shared" si="222"/>
        <v>8.2857142857142847</v>
      </c>
      <c r="AT159" s="6">
        <f t="shared" si="223"/>
        <v>4.1021892225736352</v>
      </c>
      <c r="AU159" s="181">
        <f t="shared" si="224"/>
        <v>0.66885524900729698</v>
      </c>
      <c r="AW159" s="6">
        <f t="shared" si="193"/>
        <v>8.1199999999999992</v>
      </c>
      <c r="AX159" s="6">
        <f t="shared" si="194"/>
        <v>15.224999999999998</v>
      </c>
      <c r="AY159" s="6">
        <f t="shared" si="195"/>
        <v>2.3929437131679534</v>
      </c>
      <c r="AZ159" s="6"/>
      <c r="BA159" s="181">
        <f t="shared" si="196"/>
        <v>0.6846576178494479</v>
      </c>
      <c r="BB159" s="181">
        <f t="shared" si="197"/>
        <v>0.48174399804673507</v>
      </c>
      <c r="BC159" s="181">
        <f t="shared" si="198"/>
        <v>0.47493145666021558</v>
      </c>
      <c r="BD159" s="181"/>
      <c r="BE159" s="548">
        <f t="shared" si="199"/>
        <v>0.16406461878774822</v>
      </c>
      <c r="BF159" s="548">
        <f t="shared" si="200"/>
        <v>2.6043551258221626E-2</v>
      </c>
      <c r="BG159" s="548">
        <f t="shared" si="201"/>
        <v>1.0090488670368707E-3</v>
      </c>
      <c r="BH159" s="548">
        <f t="shared" si="202"/>
        <v>2.2978943717922276E-3</v>
      </c>
      <c r="BI159">
        <f t="shared" si="203"/>
        <v>2.0300000000000001E-3</v>
      </c>
      <c r="BJ159" s="474">
        <f t="shared" si="204"/>
        <v>195.44511328479896</v>
      </c>
      <c r="BK159" s="181">
        <f t="shared" si="205"/>
        <v>5.1449999999999996E-2</v>
      </c>
      <c r="BL159" s="181">
        <f t="shared" si="206"/>
        <v>5.1449999999999996E-2</v>
      </c>
      <c r="BM159" s="548"/>
      <c r="BO159" s="474">
        <f t="shared" si="207"/>
        <v>102.89999999999999</v>
      </c>
      <c r="BP159" s="548">
        <f t="shared" si="208"/>
        <v>0</v>
      </c>
      <c r="BQ159" s="548">
        <f t="shared" si="209"/>
        <v>0</v>
      </c>
      <c r="BR159" s="548">
        <f t="shared" si="210"/>
        <v>2.0300389967285479E-2</v>
      </c>
      <c r="BS159" s="548">
        <f t="shared" si="211"/>
        <v>7.4113184623184033E-3</v>
      </c>
      <c r="BT159" s="658">
        <f t="shared" si="242"/>
        <v>0.17820812040738174</v>
      </c>
      <c r="BU159" s="474">
        <f t="shared" si="213"/>
        <v>205.91982883698563</v>
      </c>
      <c r="BV159" s="181">
        <f t="shared" si="214"/>
        <v>0.50426494212178463</v>
      </c>
      <c r="BW159" s="6">
        <f t="shared" si="215"/>
        <v>3.3810000000000002</v>
      </c>
      <c r="BX159" s="181">
        <f t="shared" si="216"/>
        <v>0.87021092521777932</v>
      </c>
      <c r="BY159" s="6">
        <f t="shared" si="217"/>
        <v>87.021092521777931</v>
      </c>
      <c r="BZ159">
        <f t="shared" si="218"/>
        <v>49</v>
      </c>
      <c r="CB159" s="583">
        <f t="shared" si="243"/>
        <v>-50</v>
      </c>
      <c r="CC159">
        <f t="shared" si="244"/>
        <v>-50</v>
      </c>
    </row>
    <row r="160" spans="5:81" x14ac:dyDescent="0.2">
      <c r="E160" s="178">
        <v>50</v>
      </c>
      <c r="F160" s="225">
        <f t="shared" si="245"/>
        <v>0.15</v>
      </c>
      <c r="G160" s="225">
        <f t="shared" si="226"/>
        <v>0.15</v>
      </c>
      <c r="H160" s="225">
        <f t="shared" si="227"/>
        <v>2.25</v>
      </c>
      <c r="I160" s="225">
        <f t="shared" si="228"/>
        <v>1.2</v>
      </c>
      <c r="J160" s="561">
        <f t="shared" si="163"/>
        <v>7</v>
      </c>
      <c r="K160" s="456">
        <f t="shared" si="164"/>
        <v>13.861016121152906</v>
      </c>
      <c r="L160" s="456">
        <f t="shared" si="165"/>
        <v>22.25</v>
      </c>
      <c r="M160" s="456"/>
      <c r="N160" s="225">
        <f t="shared" si="166"/>
        <v>0.6853932584269663</v>
      </c>
      <c r="O160" s="180">
        <f t="shared" si="229"/>
        <v>2.0416524181729359</v>
      </c>
      <c r="P160" s="180">
        <f t="shared" si="230"/>
        <v>1.6696179775280899</v>
      </c>
      <c r="Q160" s="225">
        <f t="shared" si="169"/>
        <v>0.13611016121152905</v>
      </c>
      <c r="R160" s="225">
        <f t="shared" si="231"/>
        <v>0.25520655227161698</v>
      </c>
      <c r="S160" s="225">
        <f t="shared" si="232"/>
        <v>13.611016121152906</v>
      </c>
      <c r="T160" s="225">
        <f t="shared" si="233"/>
        <v>1.45</v>
      </c>
      <c r="U160" s="225">
        <f t="shared" si="173"/>
        <v>8.2857142857142847</v>
      </c>
      <c r="V160" s="225">
        <f t="shared" si="174"/>
        <v>4.1843974130791057</v>
      </c>
      <c r="W160" s="205">
        <f t="shared" si="175"/>
        <v>350</v>
      </c>
      <c r="X160" s="456">
        <f t="shared" si="176"/>
        <v>80.191743598957501</v>
      </c>
      <c r="Z160" s="225">
        <f t="shared" si="177"/>
        <v>0.33222293776710959</v>
      </c>
      <c r="AA160" s="181">
        <f t="shared" si="178"/>
        <v>0.95872606990223053</v>
      </c>
      <c r="AB160" s="181">
        <f t="shared" si="234"/>
        <v>3.6351775111921308E-2</v>
      </c>
      <c r="AC160" s="181"/>
      <c r="AD160" s="181">
        <f t="shared" si="180"/>
        <v>0.83687948261582124</v>
      </c>
      <c r="AE160" s="565">
        <f t="shared" si="235"/>
        <v>1236.1191546806988</v>
      </c>
      <c r="AF160" s="548">
        <f t="shared" si="236"/>
        <v>4.2471633742752923E-2</v>
      </c>
      <c r="AH160" s="181">
        <f t="shared" si="237"/>
        <v>0.70203785001746366</v>
      </c>
      <c r="AI160" s="181">
        <f t="shared" si="238"/>
        <v>1.45</v>
      </c>
      <c r="AJ160" s="181">
        <f t="shared" si="239"/>
        <v>2.0592592592592593</v>
      </c>
      <c r="AL160" s="565">
        <f t="shared" si="240"/>
        <v>150</v>
      </c>
      <c r="AM160" s="474">
        <f t="shared" si="241"/>
        <v>80.191743598957501</v>
      </c>
      <c r="AO160" t="str">
        <f t="shared" si="188"/>
        <v/>
      </c>
      <c r="AP160" t="str">
        <f t="shared" si="189"/>
        <v/>
      </c>
      <c r="AR160" s="6">
        <f t="shared" si="225"/>
        <v>12.470111698793392</v>
      </c>
      <c r="AS160" s="6">
        <f t="shared" si="222"/>
        <v>8.2857142857142847</v>
      </c>
      <c r="AT160" s="6">
        <f t="shared" si="223"/>
        <v>4.1843974130791075</v>
      </c>
      <c r="AU160" s="181">
        <f t="shared" si="224"/>
        <v>0.66444587553421919</v>
      </c>
      <c r="AW160" s="6">
        <f t="shared" si="193"/>
        <v>8.2857142857142847</v>
      </c>
      <c r="AX160" s="6">
        <f t="shared" si="194"/>
        <v>15.535714285714283</v>
      </c>
      <c r="AY160" s="6">
        <f t="shared" si="195"/>
        <v>2.4907127458804208</v>
      </c>
      <c r="AZ160" s="6"/>
      <c r="BA160" s="181">
        <f t="shared" si="196"/>
        <v>0.68239711149024651</v>
      </c>
      <c r="BB160" s="181">
        <f t="shared" si="197"/>
        <v>0.48494073407283633</v>
      </c>
      <c r="BC160" s="181">
        <f t="shared" si="198"/>
        <v>0.47808298631827095</v>
      </c>
      <c r="BD160" s="181"/>
      <c r="BE160" s="548">
        <f t="shared" si="199"/>
        <v>0.16298303621958116</v>
      </c>
      <c r="BF160" s="548">
        <f t="shared" si="200"/>
        <v>2.5871861278613663E-2</v>
      </c>
      <c r="BG160" s="548">
        <f t="shared" si="201"/>
        <v>1.0023967949869686E-3</v>
      </c>
      <c r="BH160" s="548">
        <f t="shared" si="202"/>
        <v>2.2827456912638865E-3</v>
      </c>
      <c r="BI160">
        <f t="shared" si="203"/>
        <v>2.0300000000000001E-3</v>
      </c>
      <c r="BJ160" s="474">
        <f t="shared" si="204"/>
        <v>194.17003998444568</v>
      </c>
      <c r="BK160" s="181">
        <f t="shared" si="205"/>
        <v>5.2499999999999998E-2</v>
      </c>
      <c r="BL160" s="181">
        <f t="shared" si="206"/>
        <v>5.2499999999999998E-2</v>
      </c>
      <c r="BM160" s="548"/>
      <c r="BO160" s="474">
        <f t="shared" si="207"/>
        <v>105</v>
      </c>
      <c r="BP160" s="548">
        <f t="shared" si="208"/>
        <v>0</v>
      </c>
      <c r="BQ160" s="548">
        <f t="shared" si="209"/>
        <v>0</v>
      </c>
      <c r="BR160" s="548">
        <f t="shared" si="210"/>
        <v>2.0570700762629644E-2</v>
      </c>
      <c r="BS160" s="548">
        <f t="shared" si="211"/>
        <v>7.2897754521194505E-3</v>
      </c>
      <c r="BT160" s="658">
        <f t="shared" si="242"/>
        <v>0.17703329796264858</v>
      </c>
      <c r="BU160" s="474">
        <f t="shared" si="213"/>
        <v>204.89377417739769</v>
      </c>
      <c r="BV160" s="181">
        <f t="shared" si="214"/>
        <v>0.50406381416184332</v>
      </c>
      <c r="BW160" s="6">
        <f t="shared" si="215"/>
        <v>3.45</v>
      </c>
      <c r="BX160" s="181">
        <f t="shared" si="216"/>
        <v>0.87252006091644441</v>
      </c>
      <c r="BY160" s="6">
        <f t="shared" si="217"/>
        <v>87.252006091644446</v>
      </c>
      <c r="BZ160">
        <f t="shared" si="218"/>
        <v>50</v>
      </c>
      <c r="CB160" s="583">
        <f t="shared" si="243"/>
        <v>-50</v>
      </c>
      <c r="CC160">
        <f t="shared" si="244"/>
        <v>-50</v>
      </c>
    </row>
    <row r="161" spans="5:81" x14ac:dyDescent="0.2">
      <c r="E161" s="178">
        <v>51</v>
      </c>
      <c r="F161" s="225">
        <f t="shared" si="245"/>
        <v>0.153</v>
      </c>
      <c r="G161" s="225">
        <f t="shared" si="226"/>
        <v>0.153</v>
      </c>
      <c r="H161" s="225">
        <f t="shared" si="227"/>
        <v>2.2949999999999999</v>
      </c>
      <c r="I161" s="225">
        <f t="shared" si="228"/>
        <v>1.224</v>
      </c>
      <c r="J161" s="561">
        <f t="shared" si="163"/>
        <v>7</v>
      </c>
      <c r="K161" s="456">
        <f t="shared" si="164"/>
        <v>13.594133452110691</v>
      </c>
      <c r="L161" s="456">
        <f t="shared" si="165"/>
        <v>22.25</v>
      </c>
      <c r="M161" s="456"/>
      <c r="N161" s="225">
        <f t="shared" si="166"/>
        <v>0.6853932584269663</v>
      </c>
      <c r="O161" s="180">
        <f t="shared" si="229"/>
        <v>2.0416524181729359</v>
      </c>
      <c r="P161" s="180">
        <f t="shared" si="230"/>
        <v>1.6696179775280899</v>
      </c>
      <c r="Q161" s="225">
        <f t="shared" si="169"/>
        <v>0.13611016121152905</v>
      </c>
      <c r="R161" s="225">
        <f t="shared" si="231"/>
        <v>0.25520655227161698</v>
      </c>
      <c r="S161" s="225">
        <f t="shared" si="232"/>
        <v>13.344133452110691</v>
      </c>
      <c r="T161" s="225">
        <f t="shared" si="233"/>
        <v>1.45</v>
      </c>
      <c r="U161" s="225">
        <f t="shared" si="173"/>
        <v>8.2857142857142847</v>
      </c>
      <c r="V161" s="225">
        <f t="shared" si="174"/>
        <v>4.2665463160503725</v>
      </c>
      <c r="W161" s="205">
        <f t="shared" si="175"/>
        <v>350</v>
      </c>
      <c r="X161" s="456">
        <f t="shared" si="176"/>
        <v>79.666924686013544</v>
      </c>
      <c r="Z161" s="225">
        <f t="shared" si="177"/>
        <v>0.33004868798491321</v>
      </c>
      <c r="AA161" s="181">
        <f t="shared" si="178"/>
        <v>0.97115035437192432</v>
      </c>
      <c r="AB161" s="181">
        <f t="shared" si="234"/>
        <v>3.6581874490365651E-2</v>
      </c>
      <c r="AC161" s="181"/>
      <c r="AD161" s="181">
        <f t="shared" si="180"/>
        <v>0.8533092632100745</v>
      </c>
      <c r="AE161" s="565">
        <f t="shared" si="235"/>
        <v>1236.5650524214839</v>
      </c>
      <c r="AF161" s="548">
        <f t="shared" si="236"/>
        <v>4.3305445107911275E-2</v>
      </c>
      <c r="AH161" s="181">
        <f t="shared" si="237"/>
        <v>0.70902347331684701</v>
      </c>
      <c r="AI161" s="181">
        <f t="shared" si="238"/>
        <v>1.45</v>
      </c>
      <c r="AJ161" s="181">
        <f t="shared" si="239"/>
        <v>2.0592592592592593</v>
      </c>
      <c r="AL161" s="565">
        <f t="shared" si="240"/>
        <v>153</v>
      </c>
      <c r="AM161" s="474">
        <f t="shared" si="241"/>
        <v>79.666924686013544</v>
      </c>
      <c r="AO161" t="str">
        <f t="shared" si="188"/>
        <v/>
      </c>
      <c r="AP161" t="str">
        <f t="shared" si="189"/>
        <v/>
      </c>
      <c r="AR161" s="6">
        <f t="shared" si="225"/>
        <v>12.552260601764658</v>
      </c>
      <c r="AS161" s="6">
        <f t="shared" si="222"/>
        <v>8.2857142857142847</v>
      </c>
      <c r="AT161" s="6">
        <f t="shared" si="223"/>
        <v>4.2665463160503734</v>
      </c>
      <c r="AU161" s="181">
        <f t="shared" si="224"/>
        <v>0.66009737596982643</v>
      </c>
      <c r="AW161" s="6">
        <f t="shared" si="193"/>
        <v>8.4514285714285702</v>
      </c>
      <c r="AX161" s="6">
        <f t="shared" si="194"/>
        <v>15.84642857142857</v>
      </c>
      <c r="AY161" s="6">
        <f t="shared" si="195"/>
        <v>2.5904031204591549</v>
      </c>
      <c r="AZ161" s="6"/>
      <c r="BA161" s="181">
        <f t="shared" si="196"/>
        <v>0.68016045483806242</v>
      </c>
      <c r="BB161" s="181">
        <f t="shared" si="197"/>
        <v>0.48807283166328086</v>
      </c>
      <c r="BC161" s="181">
        <f t="shared" si="198"/>
        <v>0.48117079161955773</v>
      </c>
      <c r="BD161" s="181"/>
      <c r="BE161" s="548">
        <f t="shared" si="199"/>
        <v>0.16191638551393198</v>
      </c>
      <c r="BF161" s="548">
        <f t="shared" si="200"/>
        <v>2.5702541576825114E-2</v>
      </c>
      <c r="BG161" s="548">
        <f t="shared" si="201"/>
        <v>9.9583655857516913E-4</v>
      </c>
      <c r="BH161" s="548">
        <f t="shared" si="202"/>
        <v>2.2678061468862508E-3</v>
      </c>
      <c r="BI161">
        <f t="shared" si="203"/>
        <v>2.0300000000000001E-3</v>
      </c>
      <c r="BJ161" s="474">
        <f t="shared" si="204"/>
        <v>192.91256979621852</v>
      </c>
      <c r="BK161" s="181">
        <f t="shared" si="205"/>
        <v>5.3549999999999993E-2</v>
      </c>
      <c r="BL161" s="181">
        <f t="shared" si="206"/>
        <v>5.3549999999999993E-2</v>
      </c>
      <c r="BM161" s="548"/>
      <c r="BO161" s="474">
        <f t="shared" si="207"/>
        <v>107.09999999999998</v>
      </c>
      <c r="BP161" s="548">
        <f t="shared" si="208"/>
        <v>0</v>
      </c>
      <c r="BQ161" s="548">
        <f t="shared" si="209"/>
        <v>0</v>
      </c>
      <c r="BR161" s="548">
        <f t="shared" si="210"/>
        <v>2.0837279763701266E-2</v>
      </c>
      <c r="BS161" s="548">
        <f t="shared" si="211"/>
        <v>7.1710894848245237E-3</v>
      </c>
      <c r="BT161" s="658">
        <f t="shared" si="242"/>
        <v>0.17587469460996069</v>
      </c>
      <c r="BU161" s="474">
        <f t="shared" si="213"/>
        <v>203.88306385848648</v>
      </c>
      <c r="BV161" s="181">
        <f t="shared" si="214"/>
        <v>0.50389563365470491</v>
      </c>
      <c r="BW161" s="6">
        <f t="shared" si="215"/>
        <v>3.5190000000000001</v>
      </c>
      <c r="BX161" s="181">
        <f t="shared" si="216"/>
        <v>0.87474305089119908</v>
      </c>
      <c r="BY161" s="6">
        <f t="shared" si="217"/>
        <v>87.474305089119909</v>
      </c>
      <c r="BZ161">
        <f t="shared" si="218"/>
        <v>51</v>
      </c>
      <c r="CB161" s="583">
        <f t="shared" si="243"/>
        <v>-50</v>
      </c>
      <c r="CC161">
        <f t="shared" si="244"/>
        <v>-50</v>
      </c>
    </row>
    <row r="162" spans="5:81" x14ac:dyDescent="0.2">
      <c r="E162" s="178">
        <v>52</v>
      </c>
      <c r="F162" s="225">
        <f t="shared" si="245"/>
        <v>0.156</v>
      </c>
      <c r="G162" s="225">
        <f t="shared" si="226"/>
        <v>0.156</v>
      </c>
      <c r="H162" s="225">
        <f t="shared" si="227"/>
        <v>2.34</v>
      </c>
      <c r="I162" s="225">
        <f t="shared" si="228"/>
        <v>1.248</v>
      </c>
      <c r="J162" s="561">
        <f t="shared" si="163"/>
        <v>7</v>
      </c>
      <c r="K162" s="456">
        <f t="shared" si="164"/>
        <v>13.337515501108562</v>
      </c>
      <c r="L162" s="456">
        <f t="shared" si="165"/>
        <v>22.25</v>
      </c>
      <c r="M162" s="456"/>
      <c r="N162" s="225">
        <f t="shared" si="166"/>
        <v>0.6853932584269663</v>
      </c>
      <c r="O162" s="180">
        <f t="shared" si="229"/>
        <v>2.0416524181729359</v>
      </c>
      <c r="P162" s="180">
        <f t="shared" si="230"/>
        <v>1.6696179775280899</v>
      </c>
      <c r="Q162" s="225">
        <f t="shared" si="169"/>
        <v>0.13611016121152905</v>
      </c>
      <c r="R162" s="225">
        <f t="shared" si="231"/>
        <v>0.25520655227161698</v>
      </c>
      <c r="S162" s="225">
        <f t="shared" si="232"/>
        <v>13.087515501108562</v>
      </c>
      <c r="T162" s="225">
        <f t="shared" si="233"/>
        <v>1.45</v>
      </c>
      <c r="U162" s="225">
        <f t="shared" si="173"/>
        <v>8.2857142857142847</v>
      </c>
      <c r="V162" s="225">
        <f t="shared" si="174"/>
        <v>4.3486359956004748</v>
      </c>
      <c r="W162" s="205">
        <f t="shared" si="175"/>
        <v>350</v>
      </c>
      <c r="X162" s="456">
        <f t="shared" si="176"/>
        <v>79.149301525929971</v>
      </c>
      <c r="Z162" s="225">
        <f t="shared" si="177"/>
        <v>0.32790424917885264</v>
      </c>
      <c r="AA162" s="181">
        <f t="shared" si="178"/>
        <v>0.98340429040655597</v>
      </c>
      <c r="AB162" s="181">
        <f t="shared" si="234"/>
        <v>3.6802779104269052E-2</v>
      </c>
      <c r="AC162" s="181"/>
      <c r="AD162" s="181">
        <f t="shared" si="180"/>
        <v>0.86972719912009511</v>
      </c>
      <c r="AE162" s="565">
        <f t="shared" si="235"/>
        <v>1237.0109501622685</v>
      </c>
      <c r="AF162" s="548">
        <f t="shared" si="236"/>
        <v>4.4138655355344822E-2</v>
      </c>
      <c r="AH162" s="181">
        <f t="shared" si="237"/>
        <v>0.71594093930395442</v>
      </c>
      <c r="AI162" s="181">
        <f t="shared" si="238"/>
        <v>1.45</v>
      </c>
      <c r="AJ162" s="181">
        <f t="shared" si="239"/>
        <v>2.0592592592592593</v>
      </c>
      <c r="AL162" s="565">
        <f t="shared" si="240"/>
        <v>156</v>
      </c>
      <c r="AM162" s="474">
        <f t="shared" si="241"/>
        <v>79.149301525929971</v>
      </c>
      <c r="AO162" t="str">
        <f t="shared" si="188"/>
        <v/>
      </c>
      <c r="AP162" t="str">
        <f t="shared" si="189"/>
        <v/>
      </c>
      <c r="AR162" s="6">
        <f t="shared" si="225"/>
        <v>12.634350281314759</v>
      </c>
      <c r="AS162" s="6">
        <f t="shared" si="222"/>
        <v>8.2857142857142847</v>
      </c>
      <c r="AT162" s="6">
        <f t="shared" si="223"/>
        <v>4.3486359956004748</v>
      </c>
      <c r="AU162" s="181">
        <f t="shared" si="224"/>
        <v>0.65580849835770538</v>
      </c>
      <c r="AW162" s="6">
        <f t="shared" si="193"/>
        <v>8.6171428571428557</v>
      </c>
      <c r="AX162" s="6">
        <f t="shared" si="194"/>
        <v>16.157142857142855</v>
      </c>
      <c r="AY162" s="6">
        <f t="shared" si="195"/>
        <v>2.6920127591812455</v>
      </c>
      <c r="AZ162" s="6"/>
      <c r="BA162" s="181">
        <f t="shared" si="196"/>
        <v>0.67794723683510838</v>
      </c>
      <c r="BB162" s="181">
        <f t="shared" si="197"/>
        <v>0.49114242068973718</v>
      </c>
      <c r="BC162" s="181">
        <f t="shared" si="198"/>
        <v>0.48419697231634701</v>
      </c>
      <c r="BD162" s="181"/>
      <c r="BE162" s="548">
        <f t="shared" si="199"/>
        <v>0.16086435957632547</v>
      </c>
      <c r="BF162" s="548">
        <f t="shared" si="200"/>
        <v>2.553554340480315E-2</v>
      </c>
      <c r="BG162" s="548">
        <f t="shared" si="201"/>
        <v>9.8936626907412473E-4</v>
      </c>
      <c r="BH162" s="548">
        <f t="shared" si="202"/>
        <v>2.2530714374841406E-3</v>
      </c>
      <c r="BI162">
        <f t="shared" si="203"/>
        <v>2.0300000000000001E-3</v>
      </c>
      <c r="BJ162" s="474">
        <f t="shared" si="204"/>
        <v>191.67234068768687</v>
      </c>
      <c r="BK162" s="181">
        <f t="shared" si="205"/>
        <v>5.4599999999999996E-2</v>
      </c>
      <c r="BL162" s="181">
        <f t="shared" si="206"/>
        <v>5.4599999999999996E-2</v>
      </c>
      <c r="BM162" s="548"/>
      <c r="BO162" s="474">
        <f t="shared" si="207"/>
        <v>109.19999999999999</v>
      </c>
      <c r="BP162" s="548">
        <f t="shared" si="208"/>
        <v>0</v>
      </c>
      <c r="BQ162" s="548">
        <f t="shared" si="209"/>
        <v>0</v>
      </c>
      <c r="BR162" s="548">
        <f t="shared" si="210"/>
        <v>2.1100203720028556E-2</v>
      </c>
      <c r="BS162" s="548">
        <f t="shared" si="211"/>
        <v>7.0551739589731644E-3</v>
      </c>
      <c r="BT162" s="658">
        <f t="shared" si="242"/>
        <v>0.17473197678118119</v>
      </c>
      <c r="BU162" s="474">
        <f t="shared" si="213"/>
        <v>202.88735446018291</v>
      </c>
      <c r="BV162" s="181">
        <f t="shared" si="214"/>
        <v>0.50375969514786978</v>
      </c>
      <c r="BW162" s="6">
        <f t="shared" si="215"/>
        <v>3.5880000000000001</v>
      </c>
      <c r="BX162" s="181">
        <f t="shared" si="216"/>
        <v>0.87688434006883575</v>
      </c>
      <c r="BY162" s="6">
        <f t="shared" si="217"/>
        <v>87.688434006883568</v>
      </c>
      <c r="BZ162">
        <f t="shared" si="218"/>
        <v>52</v>
      </c>
      <c r="CB162" s="583">
        <f t="shared" si="243"/>
        <v>-50</v>
      </c>
      <c r="CC162">
        <f t="shared" si="244"/>
        <v>-50</v>
      </c>
    </row>
    <row r="163" spans="5:81" x14ac:dyDescent="0.2">
      <c r="E163" s="178">
        <v>53</v>
      </c>
      <c r="F163" s="225">
        <f t="shared" si="245"/>
        <v>0.159</v>
      </c>
      <c r="G163" s="225">
        <f t="shared" si="226"/>
        <v>0.159</v>
      </c>
      <c r="H163" s="225">
        <f t="shared" si="227"/>
        <v>2.3850000000000002</v>
      </c>
      <c r="I163" s="225">
        <f t="shared" si="228"/>
        <v>1.272</v>
      </c>
      <c r="J163" s="561">
        <f t="shared" si="163"/>
        <v>7</v>
      </c>
      <c r="K163" s="456">
        <f t="shared" si="164"/>
        <v>13.090581246370666</v>
      </c>
      <c r="L163" s="456">
        <f t="shared" si="165"/>
        <v>22.25</v>
      </c>
      <c r="M163" s="456"/>
      <c r="N163" s="225">
        <f t="shared" si="166"/>
        <v>0.6853932584269663</v>
      </c>
      <c r="O163" s="180">
        <f t="shared" si="229"/>
        <v>2.0416524181729359</v>
      </c>
      <c r="P163" s="180">
        <f t="shared" si="230"/>
        <v>1.6696179775280899</v>
      </c>
      <c r="Q163" s="225">
        <f t="shared" si="169"/>
        <v>0.13611016121152905</v>
      </c>
      <c r="R163" s="225">
        <f t="shared" si="231"/>
        <v>0.25520655227161698</v>
      </c>
      <c r="S163" s="225">
        <f t="shared" si="232"/>
        <v>12.840581246370666</v>
      </c>
      <c r="T163" s="225">
        <f t="shared" si="233"/>
        <v>1.45</v>
      </c>
      <c r="U163" s="225">
        <f t="shared" si="173"/>
        <v>8.2857142857142847</v>
      </c>
      <c r="V163" s="225">
        <f t="shared" si="174"/>
        <v>4.4306665157500449</v>
      </c>
      <c r="W163" s="205">
        <f t="shared" si="175"/>
        <v>350</v>
      </c>
      <c r="X163" s="456">
        <f t="shared" si="176"/>
        <v>78.638727135699412</v>
      </c>
      <c r="Z163" s="225">
        <f t="shared" si="177"/>
        <v>0.32578901241932606</v>
      </c>
      <c r="AA163" s="181">
        <f t="shared" si="178"/>
        <v>0.99549135760385077</v>
      </c>
      <c r="AB163" s="181">
        <f t="shared" si="234"/>
        <v>3.7014799302067324E-2</v>
      </c>
      <c r="AC163" s="181"/>
      <c r="AD163" s="181">
        <f t="shared" si="180"/>
        <v>0.88613330315000904</v>
      </c>
      <c r="AE163" s="565">
        <f t="shared" si="235"/>
        <v>1237.4568479030536</v>
      </c>
      <c r="AF163" s="548">
        <f t="shared" si="236"/>
        <v>4.4971265134862957E-2</v>
      </c>
      <c r="AH163" s="181">
        <f t="shared" si="237"/>
        <v>0.72279220487535101</v>
      </c>
      <c r="AI163" s="181">
        <f t="shared" si="238"/>
        <v>1.45</v>
      </c>
      <c r="AJ163" s="181">
        <f t="shared" si="239"/>
        <v>2.0592592592592593</v>
      </c>
      <c r="AL163" s="565">
        <f t="shared" si="240"/>
        <v>159</v>
      </c>
      <c r="AM163" s="474">
        <f t="shared" si="241"/>
        <v>78.638727135699412</v>
      </c>
      <c r="AO163" t="str">
        <f t="shared" si="188"/>
        <v/>
      </c>
      <c r="AP163" t="str">
        <f t="shared" si="189"/>
        <v/>
      </c>
      <c r="AR163" s="6">
        <f t="shared" si="225"/>
        <v>12.71638080146433</v>
      </c>
      <c r="AS163" s="6">
        <f t="shared" si="222"/>
        <v>8.2857142857142847</v>
      </c>
      <c r="AT163" s="6">
        <f t="shared" si="223"/>
        <v>4.4306665157500458</v>
      </c>
      <c r="AU163" s="181">
        <f t="shared" si="224"/>
        <v>0.65157802483865213</v>
      </c>
      <c r="AW163" s="6">
        <f t="shared" si="193"/>
        <v>8.7828571428571429</v>
      </c>
      <c r="AX163" s="6">
        <f t="shared" si="194"/>
        <v>16.467857142857142</v>
      </c>
      <c r="AY163" s="6">
        <f t="shared" si="195"/>
        <v>2.7955395873184812</v>
      </c>
      <c r="AZ163" s="6"/>
      <c r="BA163" s="181">
        <f t="shared" si="196"/>
        <v>0.67575705625203952</v>
      </c>
      <c r="BB163" s="181">
        <f t="shared" si="197"/>
        <v>0.49415152965351755</v>
      </c>
      <c r="BC163" s="181">
        <f t="shared" si="198"/>
        <v>0.48716352822407388</v>
      </c>
      <c r="BD163" s="181"/>
      <c r="BE163" s="548">
        <f t="shared" si="199"/>
        <v>0.15982665967604773</v>
      </c>
      <c r="BF163" s="548">
        <f t="shared" si="200"/>
        <v>2.5370819342155019E-2</v>
      </c>
      <c r="BG163" s="548">
        <f t="shared" si="201"/>
        <v>9.8298408919624274E-4</v>
      </c>
      <c r="BH163" s="548">
        <f t="shared" si="202"/>
        <v>2.2385373790254882E-3</v>
      </c>
      <c r="BI163">
        <f t="shared" si="203"/>
        <v>2.0300000000000001E-3</v>
      </c>
      <c r="BJ163" s="474">
        <f t="shared" si="204"/>
        <v>190.4490004864245</v>
      </c>
      <c r="BK163" s="181">
        <f t="shared" si="205"/>
        <v>5.5649999999999998E-2</v>
      </c>
      <c r="BL163" s="181">
        <f t="shared" si="206"/>
        <v>5.5649999999999998E-2</v>
      </c>
      <c r="BM163" s="548"/>
      <c r="BO163" s="474">
        <f t="shared" si="207"/>
        <v>111.3</v>
      </c>
      <c r="BP163" s="548">
        <f t="shared" si="208"/>
        <v>0</v>
      </c>
      <c r="BQ163" s="548">
        <f t="shared" si="209"/>
        <v>0</v>
      </c>
      <c r="BR163" s="548">
        <f t="shared" si="210"/>
        <v>2.1359547290855523E-2</v>
      </c>
      <c r="BS163" s="548">
        <f t="shared" si="211"/>
        <v>6.9419454740138661E-3</v>
      </c>
      <c r="BT163" s="658">
        <f t="shared" si="242"/>
        <v>0.17360481999294844</v>
      </c>
      <c r="BU163" s="474">
        <f t="shared" si="213"/>
        <v>201.90631275781783</v>
      </c>
      <c r="BV163" s="181">
        <f t="shared" si="214"/>
        <v>0.5036553132442424</v>
      </c>
      <c r="BW163" s="6">
        <f t="shared" si="215"/>
        <v>3.657</v>
      </c>
      <c r="BX163" s="181">
        <f t="shared" si="216"/>
        <v>0.87894808021202786</v>
      </c>
      <c r="BY163" s="6">
        <f t="shared" si="217"/>
        <v>87.894808021202792</v>
      </c>
      <c r="BZ163">
        <f t="shared" si="218"/>
        <v>53</v>
      </c>
      <c r="CB163" s="583">
        <f t="shared" si="243"/>
        <v>-50</v>
      </c>
      <c r="CC163">
        <f t="shared" si="244"/>
        <v>-50</v>
      </c>
    </row>
    <row r="164" spans="5:81" x14ac:dyDescent="0.2">
      <c r="E164" s="178">
        <v>54</v>
      </c>
      <c r="F164" s="225">
        <f t="shared" si="245"/>
        <v>0.16200000000000001</v>
      </c>
      <c r="G164" s="225">
        <f t="shared" si="226"/>
        <v>0.16200000000000001</v>
      </c>
      <c r="H164" s="225">
        <f t="shared" si="227"/>
        <v>2.4300000000000002</v>
      </c>
      <c r="I164" s="225">
        <f t="shared" si="228"/>
        <v>1.296</v>
      </c>
      <c r="J164" s="561">
        <f t="shared" si="163"/>
        <v>7</v>
      </c>
      <c r="K164" s="456">
        <f t="shared" si="164"/>
        <v>12.852792704771209</v>
      </c>
      <c r="L164" s="456">
        <f t="shared" si="165"/>
        <v>22.25</v>
      </c>
      <c r="M164" s="456"/>
      <c r="N164" s="225">
        <f t="shared" si="166"/>
        <v>0.6853932584269663</v>
      </c>
      <c r="O164" s="180">
        <f t="shared" si="229"/>
        <v>2.0416524181729359</v>
      </c>
      <c r="P164" s="180">
        <f t="shared" si="230"/>
        <v>1.6696179775280899</v>
      </c>
      <c r="Q164" s="225">
        <f t="shared" si="169"/>
        <v>0.13611016121152905</v>
      </c>
      <c r="R164" s="225">
        <f t="shared" si="231"/>
        <v>0.25520655227161698</v>
      </c>
      <c r="S164" s="225">
        <f t="shared" si="232"/>
        <v>12.602792704771209</v>
      </c>
      <c r="T164" s="225">
        <f t="shared" si="233"/>
        <v>1.45</v>
      </c>
      <c r="U164" s="225">
        <f t="shared" si="173"/>
        <v>8.2857142857142847</v>
      </c>
      <c r="V164" s="225">
        <f t="shared" si="174"/>
        <v>4.5126379404274726</v>
      </c>
      <c r="W164" s="205">
        <f t="shared" si="175"/>
        <v>350</v>
      </c>
      <c r="X164" s="456">
        <f t="shared" si="176"/>
        <v>78.135058508345494</v>
      </c>
      <c r="Z164" s="225">
        <f t="shared" si="177"/>
        <v>0.32370238524885986</v>
      </c>
      <c r="AA164" s="181">
        <f t="shared" si="178"/>
        <v>1.0074149414350866</v>
      </c>
      <c r="AB164" s="181">
        <f t="shared" si="234"/>
        <v>3.7218233744757814E-2</v>
      </c>
      <c r="AC164" s="181"/>
      <c r="AD164" s="181">
        <f t="shared" si="180"/>
        <v>0.90252758808549471</v>
      </c>
      <c r="AE164" s="565">
        <f t="shared" si="235"/>
        <v>1237.902745643838</v>
      </c>
      <c r="AF164" s="548">
        <f t="shared" si="236"/>
        <v>4.5803275095338859E-2</v>
      </c>
      <c r="AH164" s="181">
        <f t="shared" si="237"/>
        <v>0.72957913503999983</v>
      </c>
      <c r="AI164" s="181">
        <f t="shared" si="238"/>
        <v>1.45</v>
      </c>
      <c r="AJ164" s="181">
        <f t="shared" si="239"/>
        <v>2.0592592592592593</v>
      </c>
      <c r="AL164" s="565">
        <f t="shared" si="240"/>
        <v>162</v>
      </c>
      <c r="AM164" s="474">
        <f t="shared" si="241"/>
        <v>78.135058508345494</v>
      </c>
      <c r="AO164" t="str">
        <f t="shared" si="188"/>
        <v/>
      </c>
      <c r="AP164" t="str">
        <f t="shared" si="189"/>
        <v/>
      </c>
      <c r="AR164" s="6">
        <f t="shared" si="225"/>
        <v>12.798352226141757</v>
      </c>
      <c r="AS164" s="6">
        <f t="shared" si="222"/>
        <v>8.2857142857142847</v>
      </c>
      <c r="AT164" s="6">
        <f t="shared" si="223"/>
        <v>4.5126379404274726</v>
      </c>
      <c r="AU164" s="181">
        <f t="shared" si="224"/>
        <v>0.64740477049771972</v>
      </c>
      <c r="AW164" s="6">
        <f t="shared" si="193"/>
        <v>8.9485714285714266</v>
      </c>
      <c r="AX164" s="6">
        <f t="shared" si="194"/>
        <v>16.778571428571428</v>
      </c>
      <c r="AY164" s="6">
        <f t="shared" si="195"/>
        <v>2.9009815331319464</v>
      </c>
      <c r="AZ164" s="6"/>
      <c r="BA164" s="181">
        <f t="shared" si="196"/>
        <v>0.67358952138807693</v>
      </c>
      <c r="BB164" s="181">
        <f t="shared" si="197"/>
        <v>0.49710209213954709</v>
      </c>
      <c r="BC164" s="181">
        <f t="shared" si="198"/>
        <v>0.49007236558403833</v>
      </c>
      <c r="BD164" s="181"/>
      <c r="BE164" s="548">
        <f t="shared" si="199"/>
        <v>0.15880299516333649</v>
      </c>
      <c r="BF164" s="548">
        <f t="shared" si="200"/>
        <v>2.5208323251254959E-2</v>
      </c>
      <c r="BG164" s="548">
        <f t="shared" si="201"/>
        <v>9.7668823135431859E-4</v>
      </c>
      <c r="BH164" s="548">
        <f t="shared" si="202"/>
        <v>2.2241999006602977E-3</v>
      </c>
      <c r="BI164">
        <f t="shared" si="203"/>
        <v>2.0300000000000001E-3</v>
      </c>
      <c r="BJ164" s="474">
        <f t="shared" si="204"/>
        <v>189.2422065466061</v>
      </c>
      <c r="BK164" s="181">
        <f t="shared" si="205"/>
        <v>5.67E-2</v>
      </c>
      <c r="BL164" s="181">
        <f t="shared" si="206"/>
        <v>5.67E-2</v>
      </c>
      <c r="BM164" s="548"/>
      <c r="BO164" s="474">
        <f t="shared" si="207"/>
        <v>113.4</v>
      </c>
      <c r="BP164" s="548">
        <f t="shared" si="208"/>
        <v>0</v>
      </c>
      <c r="BQ164" s="548">
        <f t="shared" si="209"/>
        <v>0</v>
      </c>
      <c r="BR164" s="548">
        <f t="shared" si="210"/>
        <v>2.161538311582218E-2</v>
      </c>
      <c r="BS164" s="548">
        <f t="shared" si="211"/>
        <v>6.8313236910877437E-3</v>
      </c>
      <c r="BT164" s="658">
        <f t="shared" si="242"/>
        <v>0.17249290853948623</v>
      </c>
      <c r="BU164" s="474">
        <f t="shared" si="213"/>
        <v>200.93961534639615</v>
      </c>
      <c r="BV164" s="181">
        <f t="shared" si="214"/>
        <v>0.50358182189300227</v>
      </c>
      <c r="BW164" s="6">
        <f t="shared" si="215"/>
        <v>3.7112703957010256</v>
      </c>
      <c r="BX164" s="181">
        <f t="shared" si="216"/>
        <v>0.88052206912714426</v>
      </c>
      <c r="BY164" s="6">
        <f t="shared" si="217"/>
        <v>88.052206912714425</v>
      </c>
      <c r="BZ164">
        <f t="shared" si="218"/>
        <v>54</v>
      </c>
      <c r="CB164" s="583">
        <f t="shared" si="243"/>
        <v>-50</v>
      </c>
      <c r="CC164">
        <f t="shared" si="244"/>
        <v>-50</v>
      </c>
    </row>
    <row r="165" spans="5:81" x14ac:dyDescent="0.2">
      <c r="E165" s="178">
        <v>55</v>
      </c>
      <c r="F165" s="225">
        <f t="shared" si="245"/>
        <v>0.16500000000000001</v>
      </c>
      <c r="G165" s="225">
        <f t="shared" si="226"/>
        <v>0.16500000000000001</v>
      </c>
      <c r="H165" s="225">
        <f t="shared" si="227"/>
        <v>2.4750000000000001</v>
      </c>
      <c r="I165" s="225">
        <f t="shared" si="228"/>
        <v>1.32</v>
      </c>
      <c r="J165" s="561">
        <f t="shared" si="163"/>
        <v>7</v>
      </c>
      <c r="K165" s="456">
        <f t="shared" si="164"/>
        <v>12.623651019229914</v>
      </c>
      <c r="L165" s="456">
        <f t="shared" si="165"/>
        <v>22.25</v>
      </c>
      <c r="M165" s="456"/>
      <c r="N165" s="225">
        <f t="shared" si="166"/>
        <v>0.6853932584269663</v>
      </c>
      <c r="O165" s="180">
        <f t="shared" si="229"/>
        <v>2.0416524181729359</v>
      </c>
      <c r="P165" s="180">
        <f t="shared" si="230"/>
        <v>1.6696179775280899</v>
      </c>
      <c r="Q165" s="225">
        <f t="shared" si="169"/>
        <v>0.13611016121152905</v>
      </c>
      <c r="R165" s="225">
        <f t="shared" si="231"/>
        <v>0.25520655227161698</v>
      </c>
      <c r="S165" s="225">
        <f t="shared" si="232"/>
        <v>12.373651019229914</v>
      </c>
      <c r="T165" s="225">
        <f t="shared" si="233"/>
        <v>1.45</v>
      </c>
      <c r="U165" s="225">
        <f t="shared" si="173"/>
        <v>8.2857142857142847</v>
      </c>
      <c r="V165" s="225">
        <f t="shared" si="174"/>
        <v>4.5945503334690727</v>
      </c>
      <c r="W165" s="205">
        <f t="shared" si="175"/>
        <v>350</v>
      </c>
      <c r="X165" s="456">
        <f t="shared" si="176"/>
        <v>77.638156479381607</v>
      </c>
      <c r="Z165" s="225">
        <f t="shared" si="177"/>
        <v>0.3216437911288666</v>
      </c>
      <c r="AA165" s="181">
        <f t="shared" si="178"/>
        <v>1.0191783364064764</v>
      </c>
      <c r="AB165" s="181">
        <f t="shared" si="234"/>
        <v>3.7413369908271731E-2</v>
      </c>
      <c r="AC165" s="181"/>
      <c r="AD165" s="181">
        <f t="shared" si="180"/>
        <v>0.91891006669381448</v>
      </c>
      <c r="AE165" s="565">
        <f t="shared" si="235"/>
        <v>1238.3486433846231</v>
      </c>
      <c r="AF165" s="548">
        <f t="shared" si="236"/>
        <v>4.6634685884711084E-2</v>
      </c>
      <c r="AH165" s="181">
        <f t="shared" si="237"/>
        <v>0.73630350884866569</v>
      </c>
      <c r="AI165" s="181">
        <f t="shared" si="238"/>
        <v>1.45</v>
      </c>
      <c r="AJ165" s="181">
        <f t="shared" si="239"/>
        <v>2.0592592592592593</v>
      </c>
      <c r="AL165" s="565">
        <f t="shared" si="240"/>
        <v>165</v>
      </c>
      <c r="AM165" s="474">
        <f t="shared" si="241"/>
        <v>77.638156479381607</v>
      </c>
      <c r="AO165" t="str">
        <f t="shared" si="188"/>
        <v/>
      </c>
      <c r="AP165" t="str">
        <f t="shared" si="189"/>
        <v/>
      </c>
      <c r="AR165" s="6">
        <f t="shared" si="225"/>
        <v>12.880264619183356</v>
      </c>
      <c r="AS165" s="6">
        <f t="shared" si="222"/>
        <v>8.2857142857142847</v>
      </c>
      <c r="AT165" s="6">
        <f t="shared" si="223"/>
        <v>4.5945503334690709</v>
      </c>
      <c r="AU165" s="181">
        <f t="shared" si="224"/>
        <v>0.6432875822577333</v>
      </c>
      <c r="AW165" s="6">
        <f t="shared" si="193"/>
        <v>9.1142857142857139</v>
      </c>
      <c r="AX165" s="6">
        <f t="shared" si="194"/>
        <v>17.089285714285712</v>
      </c>
      <c r="AY165" s="6">
        <f t="shared" si="195"/>
        <v>3.0083365278666534</v>
      </c>
      <c r="AZ165" s="6"/>
      <c r="BA165" s="181">
        <f t="shared" si="196"/>
        <v>0.67144424978223471</v>
      </c>
      <c r="BB165" s="181">
        <f t="shared" si="197"/>
        <v>0.49999595275132497</v>
      </c>
      <c r="BC165" s="181">
        <f t="shared" si="198"/>
        <v>0.49292530291443754</v>
      </c>
      <c r="BD165" s="181"/>
      <c r="BE165" s="548">
        <f t="shared" si="199"/>
        <v>0.15779308319796978</v>
      </c>
      <c r="BF165" s="548">
        <f t="shared" si="200"/>
        <v>2.5048010234160489E-2</v>
      </c>
      <c r="BG165" s="548">
        <f t="shared" si="201"/>
        <v>9.7047695599227011E-4</v>
      </c>
      <c r="BH165" s="548">
        <f t="shared" si="202"/>
        <v>2.2100550409192466E-3</v>
      </c>
      <c r="BI165">
        <f t="shared" si="203"/>
        <v>2.0300000000000001E-3</v>
      </c>
      <c r="BJ165" s="474">
        <f t="shared" si="204"/>
        <v>188.05162542904179</v>
      </c>
      <c r="BK165" s="181">
        <f t="shared" si="205"/>
        <v>5.7749999999999996E-2</v>
      </c>
      <c r="BL165" s="181">
        <f t="shared" si="206"/>
        <v>5.7749999999999996E-2</v>
      </c>
      <c r="BM165" s="548"/>
      <c r="BO165" s="474">
        <f t="shared" si="207"/>
        <v>115.49999999999999</v>
      </c>
      <c r="BP165" s="548">
        <f t="shared" si="208"/>
        <v>0</v>
      </c>
      <c r="BQ165" s="548">
        <f t="shared" si="209"/>
        <v>0</v>
      </c>
      <c r="BR165" s="548">
        <f t="shared" si="210"/>
        <v>2.1867781882796099E-2</v>
      </c>
      <c r="BS165" s="548">
        <f t="shared" si="211"/>
        <v>6.7232312007617272E-3</v>
      </c>
      <c r="BT165" s="658">
        <f t="shared" si="242"/>
        <v>0.17139593519779486</v>
      </c>
      <c r="BU165" s="474">
        <f t="shared" si="213"/>
        <v>199.98694828135268</v>
      </c>
      <c r="BV165" s="181">
        <f t="shared" si="214"/>
        <v>0.50353857371039445</v>
      </c>
      <c r="BW165" s="6">
        <f t="shared" si="215"/>
        <v>3.7112703957010256</v>
      </c>
      <c r="BX165" s="181">
        <f t="shared" si="216"/>
        <v>0.88053110416989755</v>
      </c>
      <c r="BY165" s="6">
        <f t="shared" si="217"/>
        <v>88.053110416989753</v>
      </c>
      <c r="BZ165">
        <f t="shared" si="218"/>
        <v>55.000000000000007</v>
      </c>
      <c r="CB165" s="583">
        <f t="shared" si="243"/>
        <v>-50</v>
      </c>
      <c r="CC165">
        <f t="shared" si="244"/>
        <v>-50</v>
      </c>
    </row>
    <row r="166" spans="5:81" x14ac:dyDescent="0.2">
      <c r="E166" s="178">
        <v>56</v>
      </c>
      <c r="F166" s="225">
        <f t="shared" si="245"/>
        <v>0.16800000000000001</v>
      </c>
      <c r="G166" s="225">
        <f t="shared" si="226"/>
        <v>0.16800000000000001</v>
      </c>
      <c r="H166" s="225">
        <f t="shared" si="227"/>
        <v>2.52</v>
      </c>
      <c r="I166" s="225">
        <f t="shared" si="228"/>
        <v>1.3440000000000001</v>
      </c>
      <c r="J166" s="561">
        <f t="shared" si="163"/>
        <v>7</v>
      </c>
      <c r="K166" s="456">
        <f t="shared" si="164"/>
        <v>12.402692965315094</v>
      </c>
      <c r="L166" s="456">
        <f t="shared" si="165"/>
        <v>22.25</v>
      </c>
      <c r="M166" s="456"/>
      <c r="N166" s="225">
        <f t="shared" si="166"/>
        <v>0.6853932584269663</v>
      </c>
      <c r="O166" s="180">
        <f t="shared" si="229"/>
        <v>2.0416524181729359</v>
      </c>
      <c r="P166" s="180">
        <f t="shared" si="230"/>
        <v>1.6696179775280899</v>
      </c>
      <c r="Q166" s="225">
        <f t="shared" si="169"/>
        <v>0.13611016121152905</v>
      </c>
      <c r="R166" s="225">
        <f t="shared" si="231"/>
        <v>0.25520655227161698</v>
      </c>
      <c r="S166" s="225">
        <f t="shared" si="232"/>
        <v>12.152692965315094</v>
      </c>
      <c r="T166" s="225">
        <f t="shared" si="233"/>
        <v>1.45</v>
      </c>
      <c r="U166" s="225">
        <f t="shared" si="173"/>
        <v>8.2857142857142847</v>
      </c>
      <c r="V166" s="225">
        <f t="shared" si="174"/>
        <v>4.6764037586192471</v>
      </c>
      <c r="W166" s="205">
        <f t="shared" si="175"/>
        <v>350</v>
      </c>
      <c r="X166" s="456">
        <f t="shared" si="176"/>
        <v>77.147885598616028</v>
      </c>
      <c r="Z166" s="225">
        <f t="shared" si="177"/>
        <v>0.31961266890855211</v>
      </c>
      <c r="AA166" s="181">
        <f t="shared" si="178"/>
        <v>1.0307847490939879</v>
      </c>
      <c r="AB166" s="181">
        <f t="shared" si="234"/>
        <v>3.7600484561366276E-2</v>
      </c>
      <c r="AC166" s="181"/>
      <c r="AD166" s="181">
        <f t="shared" si="180"/>
        <v>0.9352807517238495</v>
      </c>
      <c r="AE166" s="565">
        <f t="shared" si="235"/>
        <v>1238.7945411254077</v>
      </c>
      <c r="AF166" s="548">
        <f t="shared" si="236"/>
        <v>4.7465498149985359E-2</v>
      </c>
      <c r="AH166" s="181">
        <f t="shared" si="237"/>
        <v>0.74296702484026833</v>
      </c>
      <c r="AI166" s="181">
        <f t="shared" si="238"/>
        <v>1.45</v>
      </c>
      <c r="AJ166" s="181">
        <f t="shared" si="239"/>
        <v>2.0592592592592593</v>
      </c>
      <c r="AL166" s="565">
        <f t="shared" si="240"/>
        <v>168</v>
      </c>
      <c r="AM166" s="474">
        <f t="shared" si="241"/>
        <v>77.147885598616028</v>
      </c>
      <c r="AO166" t="str">
        <f t="shared" si="188"/>
        <v/>
      </c>
      <c r="AP166" t="str">
        <f t="shared" si="189"/>
        <v/>
      </c>
      <c r="AR166" s="6">
        <f t="shared" si="225"/>
        <v>12.962118044333533</v>
      </c>
      <c r="AS166" s="6">
        <f t="shared" si="222"/>
        <v>8.2857142857142847</v>
      </c>
      <c r="AT166" s="6">
        <f t="shared" si="223"/>
        <v>4.676403758619248</v>
      </c>
      <c r="AU166" s="181">
        <f t="shared" si="224"/>
        <v>0.63922533781710422</v>
      </c>
      <c r="AW166" s="6">
        <f t="shared" si="193"/>
        <v>9.2799999999999994</v>
      </c>
      <c r="AX166" s="6">
        <f t="shared" si="194"/>
        <v>17.399999999999999</v>
      </c>
      <c r="AY166" s="6">
        <f t="shared" si="195"/>
        <v>3.1176025057461647</v>
      </c>
      <c r="AZ166" s="6"/>
      <c r="BA166" s="181">
        <f t="shared" si="196"/>
        <v>0.66932086793516843</v>
      </c>
      <c r="BB166" s="181">
        <f t="shared" si="197"/>
        <v>0.50283487257731652</v>
      </c>
      <c r="BC166" s="181">
        <f t="shared" si="198"/>
        <v>0.49572407639945548</v>
      </c>
      <c r="BD166" s="181"/>
      <c r="BE166" s="548">
        <f t="shared" si="199"/>
        <v>0.15679664848872049</v>
      </c>
      <c r="BF166" s="548">
        <f t="shared" si="200"/>
        <v>2.4889836591253496E-2</v>
      </c>
      <c r="BG166" s="548">
        <f t="shared" si="201"/>
        <v>9.6434856998270022E-4</v>
      </c>
      <c r="BH166" s="548">
        <f t="shared" si="202"/>
        <v>2.1960989440644786E-3</v>
      </c>
      <c r="BI166">
        <f t="shared" si="203"/>
        <v>2.0300000000000001E-3</v>
      </c>
      <c r="BJ166" s="474">
        <f t="shared" si="204"/>
        <v>186.87693259402116</v>
      </c>
      <c r="BK166" s="181">
        <f t="shared" si="205"/>
        <v>5.8799999999999998E-2</v>
      </c>
      <c r="BL166" s="181">
        <f t="shared" si="206"/>
        <v>5.8799999999999998E-2</v>
      </c>
      <c r="BM166" s="548"/>
      <c r="BO166" s="474">
        <f t="shared" si="207"/>
        <v>117.6</v>
      </c>
      <c r="BP166" s="548">
        <f t="shared" si="208"/>
        <v>0</v>
      </c>
      <c r="BQ166" s="548">
        <f t="shared" si="209"/>
        <v>0</v>
      </c>
      <c r="BR166" s="548">
        <f t="shared" si="210"/>
        <v>2.2116812392988384E-2</v>
      </c>
      <c r="BS166" s="548">
        <f t="shared" si="211"/>
        <v>6.6175933973208981E-3</v>
      </c>
      <c r="BT166" s="658">
        <f t="shared" si="242"/>
        <v>0.17031360094464473</v>
      </c>
      <c r="BU166" s="474">
        <f t="shared" si="213"/>
        <v>199.04800673495401</v>
      </c>
      <c r="BV166" s="181">
        <f t="shared" si="214"/>
        <v>0.50352493932897513</v>
      </c>
      <c r="BW166" s="6">
        <f t="shared" si="215"/>
        <v>3.7112703957010256</v>
      </c>
      <c r="BX166" s="181">
        <f t="shared" si="216"/>
        <v>0.8805339525874295</v>
      </c>
      <c r="BY166" s="6">
        <f t="shared" si="217"/>
        <v>88.053395258742952</v>
      </c>
      <c r="BZ166">
        <f t="shared" si="218"/>
        <v>56.000000000000007</v>
      </c>
      <c r="CB166" s="583">
        <f t="shared" si="243"/>
        <v>-50</v>
      </c>
      <c r="CC166">
        <f t="shared" si="244"/>
        <v>-50</v>
      </c>
    </row>
    <row r="167" spans="5:81" x14ac:dyDescent="0.2">
      <c r="E167" s="178">
        <v>57</v>
      </c>
      <c r="F167" s="225">
        <f t="shared" si="245"/>
        <v>0.17099999999999999</v>
      </c>
      <c r="G167" s="225">
        <f t="shared" si="226"/>
        <v>0.17099999999999999</v>
      </c>
      <c r="H167" s="225">
        <f t="shared" si="227"/>
        <v>2.5649999999999999</v>
      </c>
      <c r="I167" s="225">
        <f t="shared" si="228"/>
        <v>1.3679999999999999</v>
      </c>
      <c r="J167" s="561">
        <f t="shared" si="163"/>
        <v>7</v>
      </c>
      <c r="K167" s="456">
        <f t="shared" si="164"/>
        <v>12.189487825572725</v>
      </c>
      <c r="L167" s="456">
        <f t="shared" si="165"/>
        <v>22.25</v>
      </c>
      <c r="M167" s="456"/>
      <c r="N167" s="225">
        <f t="shared" si="166"/>
        <v>0.6853932584269663</v>
      </c>
      <c r="O167" s="180">
        <f t="shared" si="229"/>
        <v>2.0416524181729359</v>
      </c>
      <c r="P167" s="180">
        <f t="shared" si="230"/>
        <v>1.6696179775280899</v>
      </c>
      <c r="Q167" s="225">
        <f t="shared" si="169"/>
        <v>0.13611016121152905</v>
      </c>
      <c r="R167" s="225">
        <f t="shared" si="231"/>
        <v>0.25520655227161698</v>
      </c>
      <c r="S167" s="225">
        <f t="shared" si="232"/>
        <v>11.939487825572725</v>
      </c>
      <c r="T167" s="225">
        <f t="shared" si="233"/>
        <v>1.45</v>
      </c>
      <c r="U167" s="225">
        <f t="shared" si="173"/>
        <v>8.2857142857142847</v>
      </c>
      <c r="V167" s="225">
        <f t="shared" si="174"/>
        <v>4.7581982795306548</v>
      </c>
      <c r="W167" s="205">
        <f t="shared" si="175"/>
        <v>350</v>
      </c>
      <c r="X167" s="456">
        <f t="shared" si="176"/>
        <v>76.66411400705536</v>
      </c>
      <c r="Z167" s="225">
        <f t="shared" si="177"/>
        <v>0.3176084723149436</v>
      </c>
      <c r="AA167" s="181">
        <f t="shared" si="178"/>
        <v>1.042237301057465</v>
      </c>
      <c r="AB167" s="181">
        <f t="shared" si="234"/>
        <v>3.777984422037358E-2</v>
      </c>
      <c r="AC167" s="181"/>
      <c r="AD167" s="181">
        <f t="shared" si="180"/>
        <v>0.95163965590613109</v>
      </c>
      <c r="AE167" s="565">
        <f t="shared" si="235"/>
        <v>1239.2404388661923</v>
      </c>
      <c r="AF167" s="548">
        <f t="shared" si="236"/>
        <v>4.8295712537236156E-2</v>
      </c>
      <c r="AH167" s="181">
        <f t="shared" si="237"/>
        <v>0.74957130605242805</v>
      </c>
      <c r="AI167" s="181">
        <f t="shared" si="238"/>
        <v>1.45</v>
      </c>
      <c r="AJ167" s="181">
        <f t="shared" si="239"/>
        <v>2.0592592592592593</v>
      </c>
      <c r="AL167" s="565">
        <f t="shared" si="240"/>
        <v>170.99999999999997</v>
      </c>
      <c r="AM167" s="474">
        <f t="shared" si="241"/>
        <v>76.66411400705536</v>
      </c>
      <c r="AO167" t="str">
        <f t="shared" si="188"/>
        <v/>
      </c>
      <c r="AP167" t="str">
        <f t="shared" si="189"/>
        <v/>
      </c>
      <c r="AR167" s="6">
        <f t="shared" si="225"/>
        <v>13.043912565244939</v>
      </c>
      <c r="AS167" s="6">
        <f t="shared" si="222"/>
        <v>8.2857142857142847</v>
      </c>
      <c r="AT167" s="6">
        <f t="shared" si="223"/>
        <v>4.7581982795306548</v>
      </c>
      <c r="AU167" s="181">
        <f t="shared" si="224"/>
        <v>0.6352169446298872</v>
      </c>
      <c r="AW167" s="6">
        <f t="shared" si="193"/>
        <v>9.4457142857142848</v>
      </c>
      <c r="AX167" s="6">
        <f t="shared" si="194"/>
        <v>17.710714285714282</v>
      </c>
      <c r="AY167" s="6">
        <f t="shared" si="195"/>
        <v>3.2287774039672295</v>
      </c>
      <c r="AZ167" s="6"/>
      <c r="BA167" s="181">
        <f t="shared" si="196"/>
        <v>0.66721901104118675</v>
      </c>
      <c r="BB167" s="181">
        <f t="shared" si="197"/>
        <v>0.50562053423348419</v>
      </c>
      <c r="BC167" s="181">
        <f t="shared" si="198"/>
        <v>0.49847034486048541</v>
      </c>
      <c r="BD167" s="181"/>
      <c r="BE167" s="548">
        <f t="shared" si="199"/>
        <v>0.15581342304317275</v>
      </c>
      <c r="BF167" s="548">
        <f t="shared" si="200"/>
        <v>2.4733759781526234E-2</v>
      </c>
      <c r="BG167" s="548">
        <f t="shared" si="201"/>
        <v>9.5830142508819202E-4</v>
      </c>
      <c r="BH167" s="548">
        <f t="shared" si="202"/>
        <v>2.182327856585526E-3</v>
      </c>
      <c r="BI167">
        <f t="shared" si="203"/>
        <v>2.0300000000000001E-3</v>
      </c>
      <c r="BJ167" s="474">
        <f t="shared" si="204"/>
        <v>185.71781210637269</v>
      </c>
      <c r="BK167" s="181">
        <f t="shared" si="205"/>
        <v>5.9849999999999993E-2</v>
      </c>
      <c r="BL167" s="181">
        <f t="shared" si="206"/>
        <v>5.9849999999999993E-2</v>
      </c>
      <c r="BM167" s="548"/>
      <c r="BO167" s="474">
        <f t="shared" si="207"/>
        <v>119.69999999999999</v>
      </c>
      <c r="BP167" s="548">
        <f t="shared" si="208"/>
        <v>0</v>
      </c>
      <c r="BQ167" s="548">
        <f t="shared" si="209"/>
        <v>0</v>
      </c>
      <c r="BR167" s="548">
        <f t="shared" si="210"/>
        <v>2.2362541623479813E-2</v>
      </c>
      <c r="BS167" s="548">
        <f t="shared" si="211"/>
        <v>6.5143383592530229E-3</v>
      </c>
      <c r="BT167" s="658">
        <f t="shared" si="242"/>
        <v>0.1692456146848256</v>
      </c>
      <c r="BU167" s="474">
        <f t="shared" si="213"/>
        <v>198.12249466755844</v>
      </c>
      <c r="BV167" s="181">
        <f t="shared" si="214"/>
        <v>0.50354030677393113</v>
      </c>
      <c r="BW167" s="6">
        <f t="shared" si="215"/>
        <v>3.7112703957010256</v>
      </c>
      <c r="BX167" s="181">
        <f t="shared" si="216"/>
        <v>0.88053074210942628</v>
      </c>
      <c r="BY167" s="6">
        <f t="shared" si="217"/>
        <v>88.053074210942626</v>
      </c>
      <c r="BZ167">
        <f t="shared" si="218"/>
        <v>56.999999999999993</v>
      </c>
      <c r="CB167" s="583">
        <f t="shared" si="243"/>
        <v>-50</v>
      </c>
      <c r="CC167">
        <f t="shared" si="244"/>
        <v>-50</v>
      </c>
    </row>
    <row r="168" spans="5:81" x14ac:dyDescent="0.2">
      <c r="E168" s="178">
        <v>58</v>
      </c>
      <c r="F168" s="225">
        <f t="shared" si="245"/>
        <v>0.17399999999999999</v>
      </c>
      <c r="G168" s="225">
        <f t="shared" si="226"/>
        <v>0.17399999999999999</v>
      </c>
      <c r="H168" s="225">
        <f t="shared" si="227"/>
        <v>2.61</v>
      </c>
      <c r="I168" s="225">
        <f t="shared" si="228"/>
        <v>1.3919999999999999</v>
      </c>
      <c r="J168" s="561">
        <f t="shared" si="163"/>
        <v>7</v>
      </c>
      <c r="K168" s="456">
        <f t="shared" si="164"/>
        <v>11.983634587200781</v>
      </c>
      <c r="L168" s="456">
        <f t="shared" si="165"/>
        <v>22.25</v>
      </c>
      <c r="M168" s="456"/>
      <c r="N168" s="225">
        <f t="shared" si="166"/>
        <v>0.6853932584269663</v>
      </c>
      <c r="O168" s="180">
        <f t="shared" si="229"/>
        <v>2.0416524181729359</v>
      </c>
      <c r="P168" s="180">
        <f t="shared" si="230"/>
        <v>1.6696179775280899</v>
      </c>
      <c r="Q168" s="225">
        <f t="shared" si="169"/>
        <v>0.13611016121152905</v>
      </c>
      <c r="R168" s="225">
        <f t="shared" si="231"/>
        <v>0.25520655227161698</v>
      </c>
      <c r="S168" s="225">
        <f t="shared" si="232"/>
        <v>11.733634587200781</v>
      </c>
      <c r="T168" s="225">
        <f t="shared" si="233"/>
        <v>1.45</v>
      </c>
      <c r="U168" s="225">
        <f t="shared" si="173"/>
        <v>8.2857142857142847</v>
      </c>
      <c r="V168" s="225">
        <f t="shared" si="174"/>
        <v>4.8399339597643749</v>
      </c>
      <c r="W168" s="205">
        <f t="shared" si="175"/>
        <v>350</v>
      </c>
      <c r="X168" s="456">
        <f t="shared" si="176"/>
        <v>76.186713318671025</v>
      </c>
      <c r="Z168" s="225">
        <f t="shared" si="177"/>
        <v>0.31563066946306562</v>
      </c>
      <c r="AA168" s="181">
        <f t="shared" si="178"/>
        <v>1.0535390316396249</v>
      </c>
      <c r="AB168" s="181">
        <f t="shared" si="234"/>
        <v>3.7951705582062921E-2</v>
      </c>
      <c r="AC168" s="181"/>
      <c r="AD168" s="181">
        <f t="shared" si="180"/>
        <v>0.96798679195287518</v>
      </c>
      <c r="AE168" s="565">
        <f t="shared" si="235"/>
        <v>1239.6863366069772</v>
      </c>
      <c r="AF168" s="548">
        <f t="shared" si="236"/>
        <v>4.9125329691608412E-2</v>
      </c>
      <c r="AH168" s="181">
        <f t="shared" si="237"/>
        <v>0.75611790463808326</v>
      </c>
      <c r="AI168" s="181">
        <f t="shared" si="238"/>
        <v>1.45</v>
      </c>
      <c r="AJ168" s="181">
        <f t="shared" si="239"/>
        <v>2.0592592592592593</v>
      </c>
      <c r="AL168" s="565">
        <f t="shared" si="240"/>
        <v>174</v>
      </c>
      <c r="AM168" s="474">
        <f t="shared" si="241"/>
        <v>76.186713318671025</v>
      </c>
      <c r="AO168" t="str">
        <f t="shared" si="188"/>
        <v/>
      </c>
      <c r="AP168" t="str">
        <f t="shared" si="189"/>
        <v/>
      </c>
      <c r="AR168" s="6">
        <f t="shared" si="225"/>
        <v>13.12564824547866</v>
      </c>
      <c r="AS168" s="6">
        <f t="shared" si="222"/>
        <v>8.2857142857142847</v>
      </c>
      <c r="AT168" s="6">
        <f t="shared" si="223"/>
        <v>4.8399339597643749</v>
      </c>
      <c r="AU168" s="181">
        <f t="shared" si="224"/>
        <v>0.63126133892613134</v>
      </c>
      <c r="AW168" s="6">
        <f t="shared" si="193"/>
        <v>9.6114285714285685</v>
      </c>
      <c r="AX168" s="6">
        <f t="shared" si="194"/>
        <v>18.021428571428569</v>
      </c>
      <c r="AY168" s="6">
        <f t="shared" si="195"/>
        <v>3.3418591626944489</v>
      </c>
      <c r="AZ168" s="6"/>
      <c r="BA168" s="181">
        <f t="shared" si="196"/>
        <v>0.66513832272998952</v>
      </c>
      <c r="BB168" s="181">
        <f t="shared" si="197"/>
        <v>0.50835454652168666</v>
      </c>
      <c r="BC168" s="181">
        <f t="shared" si="198"/>
        <v>0.50116569434865266</v>
      </c>
      <c r="BD168" s="181"/>
      <c r="BE168" s="548">
        <f t="shared" si="199"/>
        <v>0.15484314592742227</v>
      </c>
      <c r="BF168" s="548">
        <f t="shared" si="200"/>
        <v>2.457973838443624E-2</v>
      </c>
      <c r="BG168" s="548">
        <f t="shared" si="201"/>
        <v>9.5233391648338786E-4</v>
      </c>
      <c r="BH168" s="548">
        <f t="shared" si="202"/>
        <v>2.1687381238336629E-3</v>
      </c>
      <c r="BI168">
        <f t="shared" si="203"/>
        <v>2.0300000000000001E-3</v>
      </c>
      <c r="BJ168" s="474">
        <f t="shared" si="204"/>
        <v>184.57395635217557</v>
      </c>
      <c r="BK168" s="181">
        <f t="shared" si="205"/>
        <v>6.0899999999999989E-2</v>
      </c>
      <c r="BL168" s="181">
        <f t="shared" si="206"/>
        <v>6.0899999999999989E-2</v>
      </c>
      <c r="BM168" s="548"/>
      <c r="BO168" s="474">
        <f t="shared" si="207"/>
        <v>121.79999999999998</v>
      </c>
      <c r="BP168" s="548">
        <f t="shared" si="208"/>
        <v>0</v>
      </c>
      <c r="BQ168" s="548">
        <f t="shared" si="209"/>
        <v>0</v>
      </c>
      <c r="BR168" s="548">
        <f t="shared" si="210"/>
        <v>2.2605034787277042E-2</v>
      </c>
      <c r="BS168" s="548">
        <f t="shared" si="211"/>
        <v>6.4133967355818255E-3</v>
      </c>
      <c r="BT168" s="658">
        <f t="shared" si="242"/>
        <v>0.16819169299013115</v>
      </c>
      <c r="BU168" s="474">
        <f t="shared" si="213"/>
        <v>197.21012451299003</v>
      </c>
      <c r="BV168" s="181">
        <f t="shared" si="214"/>
        <v>0.5035840808651656</v>
      </c>
      <c r="BW168" s="6">
        <f t="shared" si="215"/>
        <v>3.7112703957010256</v>
      </c>
      <c r="BX168" s="181">
        <f t="shared" si="216"/>
        <v>0.88052159720697376</v>
      </c>
      <c r="BY168" s="6">
        <f t="shared" si="217"/>
        <v>88.052159720697375</v>
      </c>
      <c r="BZ168">
        <f t="shared" si="218"/>
        <v>57.999999999999993</v>
      </c>
      <c r="CB168" s="583">
        <f t="shared" si="243"/>
        <v>-50</v>
      </c>
      <c r="CC168">
        <f t="shared" si="244"/>
        <v>-50</v>
      </c>
    </row>
    <row r="169" spans="5:81" x14ac:dyDescent="0.2">
      <c r="E169" s="178">
        <v>59</v>
      </c>
      <c r="F169" s="225">
        <f t="shared" si="245"/>
        <v>0.17699999999999999</v>
      </c>
      <c r="G169" s="225">
        <f t="shared" si="226"/>
        <v>0.17699999999999999</v>
      </c>
      <c r="H169" s="225">
        <f t="shared" si="227"/>
        <v>2.6549999999999998</v>
      </c>
      <c r="I169" s="225">
        <f t="shared" si="228"/>
        <v>1.4159999999999999</v>
      </c>
      <c r="J169" s="561">
        <f t="shared" si="163"/>
        <v>7</v>
      </c>
      <c r="K169" s="456">
        <f t="shared" si="164"/>
        <v>11.784759424705852</v>
      </c>
      <c r="L169" s="456">
        <f t="shared" si="165"/>
        <v>22.25</v>
      </c>
      <c r="M169" s="456"/>
      <c r="N169" s="225">
        <f t="shared" si="166"/>
        <v>0.6853932584269663</v>
      </c>
      <c r="O169" s="180">
        <f t="shared" si="229"/>
        <v>2.0416524181729359</v>
      </c>
      <c r="P169" s="180">
        <f t="shared" si="230"/>
        <v>1.6696179775280899</v>
      </c>
      <c r="Q169" s="225">
        <f t="shared" si="169"/>
        <v>0.13611016121152905</v>
      </c>
      <c r="R169" s="225">
        <f t="shared" si="231"/>
        <v>0.25520655227161698</v>
      </c>
      <c r="S169" s="225">
        <f t="shared" si="232"/>
        <v>11.534759424705852</v>
      </c>
      <c r="T169" s="225">
        <f t="shared" si="233"/>
        <v>1.45</v>
      </c>
      <c r="U169" s="225">
        <f t="shared" si="173"/>
        <v>8.2857142857142847</v>
      </c>
      <c r="V169" s="225">
        <f t="shared" si="174"/>
        <v>4.9216108627900716</v>
      </c>
      <c r="W169" s="205">
        <f t="shared" si="175"/>
        <v>350</v>
      </c>
      <c r="X169" s="456">
        <f t="shared" si="176"/>
        <v>75.715558506806616</v>
      </c>
      <c r="Z169" s="225">
        <f t="shared" si="177"/>
        <v>0.31367874238534166</v>
      </c>
      <c r="AA169" s="181">
        <f t="shared" si="178"/>
        <v>1.0646929006551906</v>
      </c>
      <c r="AB169" s="181">
        <f t="shared" si="234"/>
        <v>3.8116315935796494E-2</v>
      </c>
      <c r="AC169" s="181"/>
      <c r="AD169" s="181">
        <f t="shared" si="180"/>
        <v>0.98432217255801446</v>
      </c>
      <c r="AE169" s="565">
        <f t="shared" si="235"/>
        <v>1240.1322343477621</v>
      </c>
      <c r="AF169" s="548">
        <f t="shared" si="236"/>
        <v>4.995435025731923E-2</v>
      </c>
      <c r="AH169" s="181">
        <f t="shared" si="237"/>
        <v>0.76260830612538466</v>
      </c>
      <c r="AI169" s="181">
        <f t="shared" si="238"/>
        <v>1.45</v>
      </c>
      <c r="AJ169" s="181">
        <f t="shared" si="239"/>
        <v>2.0592592592592593</v>
      </c>
      <c r="AL169" s="565">
        <f t="shared" si="240"/>
        <v>177</v>
      </c>
      <c r="AM169" s="474">
        <f t="shared" si="241"/>
        <v>75.715558506806616</v>
      </c>
      <c r="AO169" t="str">
        <f t="shared" si="188"/>
        <v/>
      </c>
      <c r="AP169" t="str">
        <f t="shared" si="189"/>
        <v/>
      </c>
      <c r="AR169" s="6">
        <f t="shared" si="225"/>
        <v>13.207325148504356</v>
      </c>
      <c r="AS169" s="6">
        <f t="shared" si="222"/>
        <v>8.2857142857142847</v>
      </c>
      <c r="AT169" s="6">
        <f t="shared" si="223"/>
        <v>4.9216108627900716</v>
      </c>
      <c r="AU169" s="181">
        <f t="shared" si="224"/>
        <v>0.62735748477068332</v>
      </c>
      <c r="AW169" s="6">
        <f t="shared" si="193"/>
        <v>9.7771428571428558</v>
      </c>
      <c r="AX169" s="6">
        <f t="shared" si="194"/>
        <v>18.332142857142856</v>
      </c>
      <c r="AY169" s="6">
        <f t="shared" si="195"/>
        <v>3.4568457250549307</v>
      </c>
      <c r="AZ169" s="6"/>
      <c r="BA169" s="181">
        <f t="shared" si="196"/>
        <v>0.6630784548177191</v>
      </c>
      <c r="BB169" s="181">
        <f t="shared" si="197"/>
        <v>0.51103844873930904</v>
      </c>
      <c r="BC169" s="181">
        <f t="shared" si="198"/>
        <v>0.50381164239350062</v>
      </c>
      <c r="BD169" s="181"/>
      <c r="BE169" s="548">
        <f t="shared" si="199"/>
        <v>0.15388556303520887</v>
      </c>
      <c r="BF169" s="548">
        <f t="shared" si="200"/>
        <v>2.4427732063258482E-2</v>
      </c>
      <c r="BG169" s="548">
        <f t="shared" si="201"/>
        <v>9.4644448133508264E-4</v>
      </c>
      <c r="BH169" s="548">
        <f t="shared" si="202"/>
        <v>2.1553261867883668E-3</v>
      </c>
      <c r="BI169">
        <f t="shared" si="203"/>
        <v>2.0300000000000001E-3</v>
      </c>
      <c r="BJ169" s="474">
        <f t="shared" si="204"/>
        <v>183.4450657665908</v>
      </c>
      <c r="BK169" s="181">
        <f t="shared" si="205"/>
        <v>6.1949999999999991E-2</v>
      </c>
      <c r="BL169" s="181">
        <f t="shared" si="206"/>
        <v>6.1949999999999991E-2</v>
      </c>
      <c r="BM169" s="548"/>
      <c r="BO169" s="474">
        <f t="shared" si="207"/>
        <v>123.89999999999998</v>
      </c>
      <c r="BP169" s="548">
        <f t="shared" si="208"/>
        <v>0</v>
      </c>
      <c r="BQ169" s="548">
        <f t="shared" si="209"/>
        <v>0</v>
      </c>
      <c r="BR169" s="548">
        <f t="shared" si="210"/>
        <v>2.284435539101129E-2</v>
      </c>
      <c r="BS169" s="548">
        <f t="shared" si="211"/>
        <v>6.3147016377262085E-3</v>
      </c>
      <c r="BT169" s="658">
        <f t="shared" si="242"/>
        <v>0.16715155984858898</v>
      </c>
      <c r="BU169" s="474">
        <f t="shared" si="213"/>
        <v>196.31061687732648</v>
      </c>
      <c r="BV169" s="181">
        <f t="shared" si="214"/>
        <v>0.50365568264391725</v>
      </c>
      <c r="BW169" s="6">
        <f t="shared" si="215"/>
        <v>3.7112703957010256</v>
      </c>
      <c r="BX169" s="181">
        <f t="shared" si="216"/>
        <v>0.88050663919551209</v>
      </c>
      <c r="BY169" s="6">
        <f t="shared" si="217"/>
        <v>88.050663919551212</v>
      </c>
      <c r="BZ169">
        <f t="shared" si="218"/>
        <v>59</v>
      </c>
      <c r="CB169" s="583">
        <f t="shared" si="243"/>
        <v>-50</v>
      </c>
      <c r="CC169">
        <f t="shared" si="244"/>
        <v>-50</v>
      </c>
    </row>
    <row r="170" spans="5:81" x14ac:dyDescent="0.2">
      <c r="E170" s="178">
        <v>60</v>
      </c>
      <c r="F170" s="225">
        <f t="shared" si="245"/>
        <v>0.18</v>
      </c>
      <c r="G170" s="225">
        <f t="shared" si="226"/>
        <v>0.18</v>
      </c>
      <c r="H170" s="225">
        <f t="shared" si="227"/>
        <v>2.6999999999999997</v>
      </c>
      <c r="I170" s="225">
        <f t="shared" si="228"/>
        <v>1.44</v>
      </c>
      <c r="J170" s="561">
        <f t="shared" si="163"/>
        <v>7</v>
      </c>
      <c r="K170" s="456">
        <f t="shared" si="164"/>
        <v>11.592513434294089</v>
      </c>
      <c r="L170" s="456">
        <f t="shared" si="165"/>
        <v>22.25</v>
      </c>
      <c r="M170" s="456"/>
      <c r="N170" s="225">
        <f t="shared" si="166"/>
        <v>0.6853932584269663</v>
      </c>
      <c r="O170" s="180">
        <f t="shared" si="229"/>
        <v>2.0416524181729359</v>
      </c>
      <c r="P170" s="180">
        <f t="shared" si="230"/>
        <v>1.6696179775280899</v>
      </c>
      <c r="Q170" s="225">
        <f t="shared" si="169"/>
        <v>0.13611016121152905</v>
      </c>
      <c r="R170" s="225">
        <f t="shared" si="231"/>
        <v>0.25520655227161698</v>
      </c>
      <c r="S170" s="225">
        <f t="shared" si="232"/>
        <v>11.342513434294089</v>
      </c>
      <c r="T170" s="225">
        <f t="shared" si="233"/>
        <v>1.45</v>
      </c>
      <c r="U170" s="225">
        <f t="shared" si="173"/>
        <v>8.2857142857142847</v>
      </c>
      <c r="V170" s="225">
        <f t="shared" si="174"/>
        <v>5.0032290519861569</v>
      </c>
      <c r="W170" s="205">
        <f t="shared" si="175"/>
        <v>350</v>
      </c>
      <c r="X170" s="456">
        <f t="shared" si="176"/>
        <v>75.250527795014506</v>
      </c>
      <c r="Z170" s="225">
        <f t="shared" si="177"/>
        <v>0.31175218657934584</v>
      </c>
      <c r="AA170" s="181">
        <f t="shared" si="178"/>
        <v>1.0757017909751669</v>
      </c>
      <c r="AB170" s="181">
        <f t="shared" si="234"/>
        <v>3.8273913556088918E-2</v>
      </c>
      <c r="AC170" s="181"/>
      <c r="AD170" s="181">
        <f t="shared" si="180"/>
        <v>1.0006458103972313</v>
      </c>
      <c r="AE170" s="565">
        <f t="shared" si="235"/>
        <v>1240.5781320885469</v>
      </c>
      <c r="AF170" s="548">
        <f t="shared" si="236"/>
        <v>5.0782774877659489E-2</v>
      </c>
      <c r="AH170" s="181">
        <f t="shared" si="237"/>
        <v>0.7690439333539868</v>
      </c>
      <c r="AI170" s="181">
        <f t="shared" si="238"/>
        <v>1.45</v>
      </c>
      <c r="AJ170" s="181">
        <f t="shared" si="239"/>
        <v>2.0592592592592593</v>
      </c>
      <c r="AL170" s="565">
        <f t="shared" si="240"/>
        <v>180</v>
      </c>
      <c r="AM170" s="474">
        <f t="shared" si="241"/>
        <v>75.250527795014506</v>
      </c>
      <c r="AO170" t="str">
        <f t="shared" si="188"/>
        <v/>
      </c>
      <c r="AP170" t="str">
        <f t="shared" si="189"/>
        <v/>
      </c>
      <c r="AR170" s="6">
        <f t="shared" si="225"/>
        <v>13.288943337700443</v>
      </c>
      <c r="AS170" s="6">
        <f t="shared" si="222"/>
        <v>8.2857142857142847</v>
      </c>
      <c r="AT170" s="6">
        <f t="shared" si="223"/>
        <v>5.0032290519861586</v>
      </c>
      <c r="AU170" s="181">
        <f t="shared" si="224"/>
        <v>0.62350437315869156</v>
      </c>
      <c r="AW170" s="6">
        <f t="shared" ref="AW170:AW210" si="246">F170*AS170/Vout_ripple*1000</f>
        <v>9.9428571428571413</v>
      </c>
      <c r="AX170" s="6">
        <f t="shared" ref="AX170:AX210" si="247">G170*AS170/Vout_ripple2*1000</f>
        <v>18.642857142857139</v>
      </c>
      <c r="AY170" s="6">
        <f t="shared" ref="AY170:AY210" si="248">H170/Efficiency/J170*AT170/Vinripple1</f>
        <v>3.5737350371329697</v>
      </c>
      <c r="AZ170" s="6"/>
      <c r="BA170" s="181">
        <f t="shared" ref="BA170:BA210" si="249">AI170*SQRT(AU170/3)</f>
        <v>0.66103906706692939</v>
      </c>
      <c r="BB170" s="181">
        <f t="shared" ref="BB170:BB210" si="250">AI170*Npri_sec1*SQRT((1-AU170)/3)*(Pout/Pout_total)</f>
        <v>0.51367371467169398</v>
      </c>
      <c r="BC170" s="181">
        <f t="shared" ref="BC170:BC210" si="251">AI170*Npri_sec2*SQRT((1-AU170)/3)*(Pout2/Pout_total)</f>
        <v>0.50640964193896298</v>
      </c>
      <c r="BD170" s="181"/>
      <c r="BE170" s="548">
        <f t="shared" ref="BE170:BE210" si="252">Rdson*BA170^2</f>
        <v>0.15294042686605072</v>
      </c>
      <c r="BF170" s="548">
        <f t="shared" ref="BF170:BF210" si="253">0.5*L170*AI170*AM170*1000*Trise</f>
        <v>2.4277701529866556E-2</v>
      </c>
      <c r="BG170" s="548">
        <f t="shared" ref="BG170:BG210" si="254">Qg*Vdd*AM170*1000</f>
        <v>9.4063159743768129E-4</v>
      </c>
      <c r="BH170" s="548">
        <f t="shared" ref="BH170:BH210" si="255">0.5*(Coss+Csw)*L170^2*AM170*1000</f>
        <v>2.1420885789498636E-3</v>
      </c>
      <c r="BI170">
        <f t="shared" ref="BI170:BI210" si="256">J170*IQ</f>
        <v>2.0300000000000001E-3</v>
      </c>
      <c r="BJ170" s="474">
        <f t="shared" ref="BJ170:BJ210" si="257">SUM(BE170:BI170)*1000</f>
        <v>182.33084857230483</v>
      </c>
      <c r="BK170" s="181">
        <f t="shared" ref="BK170:BK210" si="258">Vfwd2*F170</f>
        <v>6.3E-2</v>
      </c>
      <c r="BL170" s="181">
        <f t="shared" ref="BL170:BL210" si="259">Vfwd2*G170</f>
        <v>6.3E-2</v>
      </c>
      <c r="BM170" s="548"/>
      <c r="BO170" s="474">
        <f t="shared" ref="BO170:BO210" si="260">SUM(BK170:BN170)*1000</f>
        <v>126</v>
      </c>
      <c r="BP170" s="548">
        <f t="shared" ref="BP170:BP210" si="261">Rdcr_pri*BA170^2</f>
        <v>0</v>
      </c>
      <c r="BQ170" s="548">
        <f t="shared" ref="BQ170:BQ210" si="262">Rdcr_sec*BB170^2</f>
        <v>0</v>
      </c>
      <c r="BR170" s="548">
        <f t="shared" ref="BR170:BR210" si="263">Rdcr_sec2*BC170^2</f>
        <v>2.3080565290387382E-2</v>
      </c>
      <c r="BS170" s="548">
        <f t="shared" ref="BS170:BS210" si="264">AI170^2.5*AM170^2.5*k_core</f>
        <v>6.2181885365827179E-3</v>
      </c>
      <c r="BT170" s="658">
        <f t="shared" si="242"/>
        <v>0.16612494642346892</v>
      </c>
      <c r="BU170" s="474">
        <f t="shared" ref="BU170:BU192" si="265">SUM(BP170:BT170)*1000</f>
        <v>195.42370025043903</v>
      </c>
      <c r="BV170" s="181">
        <f t="shared" ref="BV170:BV192" si="266">SUM(BE170:BI170,BK170:BN170,BP170:BT170)</f>
        <v>0.50375454882274395</v>
      </c>
      <c r="BW170" s="6">
        <f t="shared" ref="BW170:BW192" si="267">MIN(H170+I170,O170+P170)</f>
        <v>3.7112703957010256</v>
      </c>
      <c r="BX170" s="181">
        <f t="shared" ref="BX170:BX192" si="268">BW170/(BW170+BV170)</f>
        <v>0.8804859863339054</v>
      </c>
      <c r="BY170" s="6">
        <f t="shared" ref="BY170:BY192" si="269">BX170*100</f>
        <v>88.04859863339054</v>
      </c>
      <c r="BZ170">
        <f t="shared" ref="BZ170:BZ192" si="270">F170/Iout*100</f>
        <v>60</v>
      </c>
      <c r="CB170" s="583">
        <f t="shared" si="243"/>
        <v>-50</v>
      </c>
      <c r="CC170">
        <f t="shared" si="244"/>
        <v>-50</v>
      </c>
    </row>
    <row r="171" spans="5:81" x14ac:dyDescent="0.2">
      <c r="E171" s="178">
        <v>61</v>
      </c>
      <c r="F171" s="225">
        <f t="shared" si="245"/>
        <v>0.183</v>
      </c>
      <c r="G171" s="225">
        <f t="shared" si="226"/>
        <v>0.183</v>
      </c>
      <c r="H171" s="225">
        <f t="shared" si="227"/>
        <v>2.7450000000000001</v>
      </c>
      <c r="I171" s="225">
        <f t="shared" si="228"/>
        <v>1.464</v>
      </c>
      <c r="J171" s="561">
        <f t="shared" si="163"/>
        <v>7</v>
      </c>
      <c r="K171" s="456">
        <f t="shared" si="164"/>
        <v>11.40657059110894</v>
      </c>
      <c r="L171" s="456">
        <f t="shared" si="165"/>
        <v>22.25</v>
      </c>
      <c r="M171" s="456"/>
      <c r="N171" s="225">
        <f t="shared" si="166"/>
        <v>0.6853932584269663</v>
      </c>
      <c r="O171" s="180">
        <f t="shared" si="229"/>
        <v>2.0416524181729359</v>
      </c>
      <c r="P171" s="180">
        <f t="shared" si="230"/>
        <v>1.6696179775280899</v>
      </c>
      <c r="Q171" s="225">
        <f t="shared" si="169"/>
        <v>0.13611016121152905</v>
      </c>
      <c r="R171" s="225">
        <f t="shared" si="231"/>
        <v>0.25520655227161698</v>
      </c>
      <c r="S171" s="225">
        <f t="shared" si="232"/>
        <v>11.15657059110894</v>
      </c>
      <c r="T171" s="225">
        <f t="shared" si="233"/>
        <v>1.45</v>
      </c>
      <c r="U171" s="225">
        <f t="shared" si="173"/>
        <v>8.2857142857142847</v>
      </c>
      <c r="V171" s="225">
        <f t="shared" si="174"/>
        <v>5.084788590639957</v>
      </c>
      <c r="W171" s="205">
        <f t="shared" si="175"/>
        <v>350</v>
      </c>
      <c r="X171" s="456">
        <f t="shared" si="176"/>
        <v>74.791502552121784</v>
      </c>
      <c r="Z171" s="225">
        <f t="shared" si="177"/>
        <v>0.30985051057307594</v>
      </c>
      <c r="AA171" s="181">
        <f t="shared" si="178"/>
        <v>1.0865685110109944</v>
      </c>
      <c r="AB171" s="181">
        <f t="shared" si="234"/>
        <v>3.8424728076614421E-2</v>
      </c>
      <c r="AC171" s="181"/>
      <c r="AD171" s="181">
        <f t="shared" si="180"/>
        <v>1.0169577181279912</v>
      </c>
      <c r="AE171" s="565">
        <f t="shared" si="235"/>
        <v>1241.024029829332</v>
      </c>
      <c r="AF171" s="548">
        <f t="shared" si="236"/>
        <v>5.1610604194995552E-2</v>
      </c>
      <c r="AH171" s="181">
        <f t="shared" si="237"/>
        <v>0.775426150117285</v>
      </c>
      <c r="AI171" s="181">
        <f t="shared" si="238"/>
        <v>1.45</v>
      </c>
      <c r="AJ171" s="181">
        <f t="shared" si="239"/>
        <v>2.0592592592592593</v>
      </c>
      <c r="AL171" s="565">
        <f t="shared" si="240"/>
        <v>183</v>
      </c>
      <c r="AM171" s="474">
        <f t="shared" si="241"/>
        <v>74.791502552121784</v>
      </c>
      <c r="AO171" t="str">
        <f t="shared" si="188"/>
        <v/>
      </c>
      <c r="AP171" t="str">
        <f t="shared" si="189"/>
        <v/>
      </c>
      <c r="AR171" s="6">
        <f t="shared" si="225"/>
        <v>13.370502876354243</v>
      </c>
      <c r="AS171" s="6">
        <f t="shared" si="222"/>
        <v>8.2857142857142847</v>
      </c>
      <c r="AT171" s="6">
        <f t="shared" si="223"/>
        <v>5.0847885906399579</v>
      </c>
      <c r="AU171" s="181">
        <f t="shared" si="224"/>
        <v>0.61970102114615189</v>
      </c>
      <c r="AW171" s="6">
        <f t="shared" si="246"/>
        <v>10.108571428571427</v>
      </c>
      <c r="AX171" s="6">
        <f t="shared" si="247"/>
        <v>18.953571428571422</v>
      </c>
      <c r="AY171" s="6">
        <f t="shared" si="248"/>
        <v>3.6925250479647307</v>
      </c>
      <c r="AZ171" s="6"/>
      <c r="BA171" s="181">
        <f t="shared" si="249"/>
        <v>0.65901982695509853</v>
      </c>
      <c r="BB171" s="181">
        <f t="shared" si="250"/>
        <v>0.51626175629558813</v>
      </c>
      <c r="BC171" s="181">
        <f t="shared" si="251"/>
        <v>0.50896108499443837</v>
      </c>
      <c r="BD171" s="181"/>
      <c r="BE171" s="548">
        <f t="shared" si="252"/>
        <v>0.1520074963119748</v>
      </c>
      <c r="BF171" s="548">
        <f t="shared" si="253"/>
        <v>2.4129608510878288E-2</v>
      </c>
      <c r="BG171" s="548">
        <f t="shared" si="254"/>
        <v>9.3489378190152227E-4</v>
      </c>
      <c r="BH171" s="548">
        <f t="shared" si="255"/>
        <v>2.1290219233520628E-3</v>
      </c>
      <c r="BI171">
        <f t="shared" si="256"/>
        <v>2.0300000000000001E-3</v>
      </c>
      <c r="BJ171" s="474">
        <f t="shared" si="257"/>
        <v>181.23102052810668</v>
      </c>
      <c r="BK171" s="181">
        <f t="shared" si="258"/>
        <v>6.4049999999999996E-2</v>
      </c>
      <c r="BL171" s="181">
        <f t="shared" si="259"/>
        <v>6.4049999999999996E-2</v>
      </c>
      <c r="BM171" s="548"/>
      <c r="BO171" s="474">
        <f t="shared" si="260"/>
        <v>128.1</v>
      </c>
      <c r="BP171" s="548">
        <f t="shared" si="261"/>
        <v>0</v>
      </c>
      <c r="BQ171" s="548">
        <f t="shared" si="262"/>
        <v>0</v>
      </c>
      <c r="BR171" s="548">
        <f t="shared" si="263"/>
        <v>2.3313724743484431E-2</v>
      </c>
      <c r="BS171" s="548">
        <f t="shared" si="264"/>
        <v>6.1237951645469278E-3</v>
      </c>
      <c r="BT171" s="658">
        <f t="shared" si="242"/>
        <v>0.16511159082162788</v>
      </c>
      <c r="BU171" s="474">
        <f t="shared" si="265"/>
        <v>194.54911072965925</v>
      </c>
      <c r="BV171" s="181">
        <f t="shared" si="266"/>
        <v>0.50388013125776587</v>
      </c>
      <c r="BW171" s="6">
        <f t="shared" si="267"/>
        <v>3.7112703957010256</v>
      </c>
      <c r="BX171" s="181">
        <f t="shared" si="268"/>
        <v>0.88045975391979348</v>
      </c>
      <c r="BY171" s="6">
        <f t="shared" si="269"/>
        <v>88.045975391979354</v>
      </c>
      <c r="BZ171">
        <f t="shared" si="270"/>
        <v>61</v>
      </c>
      <c r="CB171" s="583">
        <f t="shared" si="243"/>
        <v>-50</v>
      </c>
      <c r="CC171">
        <f t="shared" si="244"/>
        <v>-50</v>
      </c>
    </row>
    <row r="172" spans="5:81" x14ac:dyDescent="0.2">
      <c r="E172" s="178">
        <v>62</v>
      </c>
      <c r="F172" s="225">
        <f t="shared" si="245"/>
        <v>0.186</v>
      </c>
      <c r="G172" s="225">
        <f t="shared" si="226"/>
        <v>0.186</v>
      </c>
      <c r="H172" s="225">
        <f t="shared" si="227"/>
        <v>2.79</v>
      </c>
      <c r="I172" s="225">
        <f t="shared" si="228"/>
        <v>1.488</v>
      </c>
      <c r="J172" s="561">
        <f t="shared" si="163"/>
        <v>7</v>
      </c>
      <c r="K172" s="456">
        <f t="shared" si="164"/>
        <v>11.226625904155568</v>
      </c>
      <c r="L172" s="456">
        <f t="shared" si="165"/>
        <v>22.25</v>
      </c>
      <c r="M172" s="456"/>
      <c r="N172" s="225">
        <f t="shared" si="166"/>
        <v>0.6853932584269663</v>
      </c>
      <c r="O172" s="180">
        <f t="shared" si="229"/>
        <v>2.0416524181729359</v>
      </c>
      <c r="P172" s="180">
        <f t="shared" si="230"/>
        <v>1.6696179775280899</v>
      </c>
      <c r="Q172" s="225">
        <f t="shared" si="169"/>
        <v>0.13611016121152905</v>
      </c>
      <c r="R172" s="225">
        <f t="shared" si="231"/>
        <v>0.25520655227161698</v>
      </c>
      <c r="S172" s="225">
        <f t="shared" si="232"/>
        <v>10.976625904155568</v>
      </c>
      <c r="T172" s="225">
        <f t="shared" si="233"/>
        <v>1.45</v>
      </c>
      <c r="U172" s="225">
        <f t="shared" si="173"/>
        <v>8.2857142857142847</v>
      </c>
      <c r="V172" s="225">
        <f t="shared" si="174"/>
        <v>5.1662895419478732</v>
      </c>
      <c r="W172" s="205">
        <f t="shared" si="175"/>
        <v>350</v>
      </c>
      <c r="X172" s="456">
        <f t="shared" si="176"/>
        <v>74.338367191335493</v>
      </c>
      <c r="Z172" s="225">
        <f t="shared" si="177"/>
        <v>0.30797323550696126</v>
      </c>
      <c r="AA172" s="181">
        <f t="shared" si="178"/>
        <v>1.0972957971030783</v>
      </c>
      <c r="AB172" s="181">
        <f t="shared" si="234"/>
        <v>3.8568980846644167E-2</v>
      </c>
      <c r="AC172" s="181"/>
      <c r="AD172" s="181">
        <f t="shared" si="180"/>
        <v>1.0332579083895748</v>
      </c>
      <c r="AE172" s="565">
        <f t="shared" si="235"/>
        <v>1241.4699275701164</v>
      </c>
      <c r="AF172" s="548">
        <f t="shared" si="236"/>
        <v>5.2437838850770906E-2</v>
      </c>
      <c r="AH172" s="181">
        <f t="shared" si="237"/>
        <v>0.78175626453700842</v>
      </c>
      <c r="AI172" s="181">
        <f t="shared" si="238"/>
        <v>1.45</v>
      </c>
      <c r="AJ172" s="181">
        <f t="shared" si="239"/>
        <v>2.0592592592592593</v>
      </c>
      <c r="AL172" s="565">
        <f t="shared" si="240"/>
        <v>186</v>
      </c>
      <c r="AM172" s="474">
        <f t="shared" si="241"/>
        <v>74.338367191335493</v>
      </c>
      <c r="AO172" t="str">
        <f t="shared" si="188"/>
        <v/>
      </c>
      <c r="AP172" t="str">
        <f t="shared" si="189"/>
        <v/>
      </c>
      <c r="AR172" s="6">
        <f t="shared" si="225"/>
        <v>13.452003827662159</v>
      </c>
      <c r="AS172" s="6">
        <f t="shared" si="222"/>
        <v>8.2857142857142847</v>
      </c>
      <c r="AT172" s="6">
        <f t="shared" si="223"/>
        <v>5.166289541947874</v>
      </c>
      <c r="AU172" s="181">
        <f t="shared" si="224"/>
        <v>0.61594647101392253</v>
      </c>
      <c r="AW172" s="6">
        <f t="shared" si="246"/>
        <v>10.274285714285714</v>
      </c>
      <c r="AX172" s="6">
        <f t="shared" si="247"/>
        <v>19.264285714285712</v>
      </c>
      <c r="AY172" s="6">
        <f t="shared" si="248"/>
        <v>3.8132137095329544</v>
      </c>
      <c r="AZ172" s="6"/>
      <c r="BA172" s="181">
        <f t="shared" si="249"/>
        <v>0.657020409451328</v>
      </c>
      <c r="BB172" s="181">
        <f t="shared" si="250"/>
        <v>0.51880392721888924</v>
      </c>
      <c r="BC172" s="181">
        <f t="shared" si="251"/>
        <v>0.51146730602589485</v>
      </c>
      <c r="BD172" s="181"/>
      <c r="BE172" s="548">
        <f t="shared" si="252"/>
        <v>0.15108653645245673</v>
      </c>
      <c r="BF172" s="548">
        <f t="shared" si="253"/>
        <v>2.3983415715104612E-2</v>
      </c>
      <c r="BG172" s="548">
        <f t="shared" si="254"/>
        <v>9.292295898916936E-4</v>
      </c>
      <c r="BH172" s="548">
        <f t="shared" si="255"/>
        <v>2.1161229296904802E-3</v>
      </c>
      <c r="BI172">
        <f t="shared" si="256"/>
        <v>2.0300000000000001E-3</v>
      </c>
      <c r="BJ172" s="474">
        <f t="shared" si="257"/>
        <v>180.14530468714355</v>
      </c>
      <c r="BK172" s="181">
        <f t="shared" si="258"/>
        <v>6.5099999999999991E-2</v>
      </c>
      <c r="BL172" s="181">
        <f t="shared" si="259"/>
        <v>6.5099999999999991E-2</v>
      </c>
      <c r="BM172" s="548"/>
      <c r="BO172" s="474">
        <f t="shared" si="260"/>
        <v>130.19999999999999</v>
      </c>
      <c r="BP172" s="548">
        <f t="shared" si="261"/>
        <v>0</v>
      </c>
      <c r="BQ172" s="548">
        <f t="shared" si="262"/>
        <v>0</v>
      </c>
      <c r="BR172" s="548">
        <f t="shared" si="263"/>
        <v>2.3543892462004775E-2</v>
      </c>
      <c r="BS172" s="548">
        <f t="shared" si="264"/>
        <v>6.0314614222065095E-3</v>
      </c>
      <c r="BT172" s="658">
        <f t="shared" si="242"/>
        <v>0.16411123787077203</v>
      </c>
      <c r="BU172" s="474">
        <f t="shared" si="265"/>
        <v>193.68659175498331</v>
      </c>
      <c r="BV172" s="181">
        <f t="shared" si="266"/>
        <v>0.50403189644212687</v>
      </c>
      <c r="BW172" s="6">
        <f t="shared" si="267"/>
        <v>3.7112703957010256</v>
      </c>
      <c r="BX172" s="181">
        <f t="shared" si="268"/>
        <v>0.88042805438139382</v>
      </c>
      <c r="BY172" s="6">
        <f t="shared" si="269"/>
        <v>88.042805438139382</v>
      </c>
      <c r="BZ172">
        <f t="shared" si="270"/>
        <v>62</v>
      </c>
      <c r="CB172" s="583">
        <f t="shared" si="243"/>
        <v>-50</v>
      </c>
      <c r="CC172">
        <f t="shared" si="244"/>
        <v>-50</v>
      </c>
    </row>
    <row r="173" spans="5:81" x14ac:dyDescent="0.2">
      <c r="E173" s="178">
        <v>63</v>
      </c>
      <c r="F173" s="225">
        <f t="shared" si="245"/>
        <v>0.189</v>
      </c>
      <c r="G173" s="225">
        <f t="shared" si="226"/>
        <v>0.189</v>
      </c>
      <c r="H173" s="225">
        <f t="shared" si="227"/>
        <v>2.835</v>
      </c>
      <c r="I173" s="225">
        <f t="shared" si="228"/>
        <v>1.512</v>
      </c>
      <c r="J173" s="561">
        <f t="shared" si="163"/>
        <v>7</v>
      </c>
      <c r="K173" s="456">
        <f t="shared" si="164"/>
        <v>11.05239374694675</v>
      </c>
      <c r="L173" s="456">
        <f t="shared" si="165"/>
        <v>22.25</v>
      </c>
      <c r="M173" s="456"/>
      <c r="N173" s="225">
        <f t="shared" si="166"/>
        <v>0.6853932584269663</v>
      </c>
      <c r="O173" s="180">
        <f t="shared" si="229"/>
        <v>2.0416524181729359</v>
      </c>
      <c r="P173" s="180">
        <f t="shared" si="230"/>
        <v>1.6696179775280899</v>
      </c>
      <c r="Q173" s="225">
        <f t="shared" si="169"/>
        <v>0.13611016121152905</v>
      </c>
      <c r="R173" s="225">
        <f t="shared" si="231"/>
        <v>0.25520655227161698</v>
      </c>
      <c r="S173" s="225">
        <f t="shared" si="232"/>
        <v>10.80239374694675</v>
      </c>
      <c r="T173" s="225">
        <f t="shared" si="233"/>
        <v>1.45</v>
      </c>
      <c r="U173" s="225">
        <f t="shared" si="173"/>
        <v>8.2857142857142847</v>
      </c>
      <c r="V173" s="225">
        <f t="shared" si="174"/>
        <v>5.2477319690155477</v>
      </c>
      <c r="W173" s="205">
        <f t="shared" si="175"/>
        <v>350</v>
      </c>
      <c r="X173" s="456">
        <f t="shared" si="176"/>
        <v>73.891009073206902</v>
      </c>
      <c r="Z173" s="225">
        <f t="shared" si="177"/>
        <v>0.30611989473185708</v>
      </c>
      <c r="AA173" s="181">
        <f t="shared" si="178"/>
        <v>1.1078863158179593</v>
      </c>
      <c r="AB173" s="181">
        <f t="shared" si="234"/>
        <v>3.8706885270838216E-2</v>
      </c>
      <c r="AC173" s="181"/>
      <c r="AD173" s="181">
        <f t="shared" si="180"/>
        <v>1.0495463938031098</v>
      </c>
      <c r="AE173" s="565">
        <f t="shared" si="235"/>
        <v>1241.9158253109013</v>
      </c>
      <c r="AF173" s="548">
        <f t="shared" si="236"/>
        <v>5.3264479485507811E-2</v>
      </c>
      <c r="AH173" s="181">
        <f t="shared" si="237"/>
        <v>0.78803553219382172</v>
      </c>
      <c r="AI173" s="181">
        <f t="shared" si="238"/>
        <v>1.45</v>
      </c>
      <c r="AJ173" s="181">
        <f t="shared" si="239"/>
        <v>2.0592592592592593</v>
      </c>
      <c r="AL173" s="565">
        <f t="shared" si="240"/>
        <v>189</v>
      </c>
      <c r="AM173" s="474">
        <f t="shared" si="241"/>
        <v>73.891009073206902</v>
      </c>
      <c r="AO173" t="str">
        <f t="shared" si="188"/>
        <v/>
      </c>
      <c r="AP173" t="str">
        <f t="shared" si="189"/>
        <v/>
      </c>
      <c r="AR173" s="6">
        <f t="shared" si="225"/>
        <v>13.533446254729832</v>
      </c>
      <c r="AS173" s="6">
        <f t="shared" si="222"/>
        <v>8.2857142857142847</v>
      </c>
      <c r="AT173" s="6">
        <f t="shared" si="223"/>
        <v>5.2477319690155468</v>
      </c>
      <c r="AU173" s="181">
        <f t="shared" si="224"/>
        <v>0.61223978946371427</v>
      </c>
      <c r="AW173" s="6">
        <f t="shared" si="246"/>
        <v>10.44</v>
      </c>
      <c r="AX173" s="6">
        <f t="shared" si="247"/>
        <v>19.574999999999999</v>
      </c>
      <c r="AY173" s="6">
        <f t="shared" si="248"/>
        <v>3.9357989767616597</v>
      </c>
      <c r="AZ173" s="6"/>
      <c r="BA173" s="181">
        <f t="shared" si="249"/>
        <v>0.65504049680088716</v>
      </c>
      <c r="BB173" s="181">
        <f t="shared" si="250"/>
        <v>0.52130152587938994</v>
      </c>
      <c r="BC173" s="181">
        <f t="shared" si="251"/>
        <v>0.51392958510937836</v>
      </c>
      <c r="BD173" s="181"/>
      <c r="BE173" s="548">
        <f t="shared" si="252"/>
        <v>0.15017731835720358</v>
      </c>
      <c r="BF173" s="548">
        <f t="shared" si="253"/>
        <v>2.3839086802243371E-2</v>
      </c>
      <c r="BG173" s="548">
        <f t="shared" si="254"/>
        <v>9.2363761341508624E-4</v>
      </c>
      <c r="BH173" s="548">
        <f t="shared" si="255"/>
        <v>2.1033883915600082E-3</v>
      </c>
      <c r="BI173">
        <f t="shared" si="256"/>
        <v>2.0300000000000001E-3</v>
      </c>
      <c r="BJ173" s="474">
        <f t="shared" si="257"/>
        <v>179.07343116442203</v>
      </c>
      <c r="BK173" s="181">
        <f t="shared" si="258"/>
        <v>6.615E-2</v>
      </c>
      <c r="BL173" s="181">
        <f t="shared" si="259"/>
        <v>6.615E-2</v>
      </c>
      <c r="BM173" s="548"/>
      <c r="BO173" s="474">
        <f t="shared" si="260"/>
        <v>132.30000000000001</v>
      </c>
      <c r="BP173" s="548">
        <f t="shared" si="261"/>
        <v>0</v>
      </c>
      <c r="BQ173" s="548">
        <f t="shared" si="262"/>
        <v>0</v>
      </c>
      <c r="BR173" s="548">
        <f t="shared" si="263"/>
        <v>2.3771125660562796E-2</v>
      </c>
      <c r="BS173" s="548">
        <f t="shared" si="264"/>
        <v>5.9411292894548271E-3</v>
      </c>
      <c r="BT173" s="658">
        <f t="shared" si="242"/>
        <v>0.1631236389052384</v>
      </c>
      <c r="BU173" s="474">
        <f t="shared" si="265"/>
        <v>192.83589385525602</v>
      </c>
      <c r="BV173" s="181">
        <f t="shared" si="266"/>
        <v>0.50420932501967797</v>
      </c>
      <c r="BW173" s="6">
        <f t="shared" si="267"/>
        <v>3.7112703957010256</v>
      </c>
      <c r="BX173" s="181">
        <f t="shared" si="268"/>
        <v>0.88039099736589987</v>
      </c>
      <c r="BY173" s="6">
        <f t="shared" si="269"/>
        <v>88.039099736589989</v>
      </c>
      <c r="BZ173">
        <f t="shared" si="270"/>
        <v>63</v>
      </c>
      <c r="CB173" s="583">
        <f t="shared" si="243"/>
        <v>-50</v>
      </c>
      <c r="CC173">
        <f t="shared" si="244"/>
        <v>-50</v>
      </c>
    </row>
    <row r="174" spans="5:81" x14ac:dyDescent="0.2">
      <c r="E174" s="178">
        <v>64</v>
      </c>
      <c r="F174" s="225">
        <f t="shared" si="245"/>
        <v>0.192</v>
      </c>
      <c r="G174" s="225">
        <f t="shared" ref="G174:G210" si="271">IF(PLOT_TYPE=1, E174/100*Iout2, min_I*EXP(Q174*rr/100))</f>
        <v>0.192</v>
      </c>
      <c r="H174" s="225">
        <f t="shared" ref="H174:H210" si="272">F174*Vout</f>
        <v>2.88</v>
      </c>
      <c r="I174" s="225">
        <f t="shared" ref="I174:I210" si="273">Vout2*G174</f>
        <v>1.536</v>
      </c>
      <c r="J174" s="561">
        <f t="shared" ref="J174:J210" si="274">VIN_min</f>
        <v>7</v>
      </c>
      <c r="K174" s="456">
        <f t="shared" ref="K174:K210" si="275">(S174+Vfwd1)*Nps</f>
        <v>10.883606344650707</v>
      </c>
      <c r="L174" s="456">
        <f t="shared" ref="L174:L210" si="276">(Vout+Vfwd1)*Nps+J174</f>
        <v>22.25</v>
      </c>
      <c r="M174" s="456"/>
      <c r="N174" s="225">
        <f t="shared" ref="N174:N210" si="277">(Vout+Vfwd1)*Nps/((Vout+Vfwd1)*Nps+J174)</f>
        <v>0.6853932584269663</v>
      </c>
      <c r="O174" s="180">
        <f t="shared" ref="O174:O205" si="278">N174*J174*Isw_max*0.5*Efficiency*Pout/(Pout+Pout2)</f>
        <v>2.0416524181729359</v>
      </c>
      <c r="P174" s="180">
        <f t="shared" ref="P174:P210" si="279">N174*J174*Isw_max*0.5*Efficiency*(Pout2/Pout_total)</f>
        <v>1.6696179775280899</v>
      </c>
      <c r="Q174" s="225">
        <f t="shared" ref="Q174:Q210" si="280">O174/Vout</f>
        <v>0.13611016121152905</v>
      </c>
      <c r="R174" s="225">
        <f t="shared" ref="R174:R210" si="281">O174/Vout2</f>
        <v>0.25520655227161698</v>
      </c>
      <c r="S174" s="225">
        <f t="shared" ref="S174:S210" si="282">MIN(Vout,O174/F174)</f>
        <v>10.633606344650707</v>
      </c>
      <c r="T174" s="225">
        <f t="shared" ref="T174:T210" si="283">MIN(2*(Vout*F174+Vout2*G174)/(Efficiency*J174*N174), Isw_max)</f>
        <v>1.45</v>
      </c>
      <c r="U174" s="225">
        <f t="shared" ref="U174:U210" si="284">L*T174/J174*1000000</f>
        <v>8.2857142857142847</v>
      </c>
      <c r="V174" s="225">
        <f t="shared" ref="V174:V210" si="285">L*T174/K174*1000000</f>
        <v>5.3291159348580264</v>
      </c>
      <c r="W174" s="205">
        <f t="shared" ref="W174:W210" si="286">IF(1/((350000*L)*(1/J174+1/K174))&gt;Isw_min, 350, 0.001/((Isw_min*L)*(1/J174+1/K174)))</f>
        <v>350</v>
      </c>
      <c r="X174" s="456">
        <f t="shared" ref="X174:X210" si="287">MIN(1/(U174+V174)*1000, 350)</f>
        <v>73.449318412283816</v>
      </c>
      <c r="Z174" s="225">
        <f t="shared" ref="Z174:Z210" si="288">1/((W174*1000*L)*(1/J174+1/K174))</f>
        <v>0.30429003342231858</v>
      </c>
      <c r="AA174" s="181">
        <f t="shared" ref="AA174:AA210" si="289">L*Z174/K174*1000000</f>
        <v>1.118342666158179</v>
      </c>
      <c r="AB174" s="181">
        <f t="shared" ref="AB174:AB205" si="290">0.5*AA174*Z174*Nps*W174/1000*(Pout/(Pout+Pout2))</f>
        <v>3.8838647133263154E-2</v>
      </c>
      <c r="AC174" s="181"/>
      <c r="AD174" s="181">
        <f t="shared" ref="AD174:AD210" si="291">L*Isw_min/K174*1000000</f>
        <v>1.0658231869716053</v>
      </c>
      <c r="AE174" s="565">
        <f t="shared" ref="AE174:AE205" si="292">MAX(10, F174/(0.5*AD174/1000000*Isw_min*Nps)/1000*Pout_total/Pout)</f>
        <v>1242.3617230516861</v>
      </c>
      <c r="AF174" s="548">
        <f t="shared" ref="AF174:AF210" si="293">0.5*AD174/1000000*Isw_min*Nps*W174*1000*(Pout/Pout_total)</f>
        <v>5.4090526738808958E-2</v>
      </c>
      <c r="AH174" s="181">
        <f t="shared" ref="AH174:AH210" si="294">SQRT((H174+I174)/(0.5*L*Fsw_DCM))</f>
        <v>0.79426515903515671</v>
      </c>
      <c r="AI174" s="181">
        <f t="shared" ref="AI174:AI205" si="295">MAX(IF(F174&gt;AB174,T174,AH174),Isw_min)</f>
        <v>1.45</v>
      </c>
      <c r="AJ174" s="181">
        <f t="shared" ref="AJ174:AJ205" si="296">IF(F174&gt;AF174, (AI174-Isw_min)/1.08*0.8+1.2, AE174*0.2/350+1)</f>
        <v>2.0592592592592593</v>
      </c>
      <c r="AL174" s="565">
        <f t="shared" ref="AL174:AL210" si="297">F174*1000</f>
        <v>192</v>
      </c>
      <c r="AM174" s="474">
        <f t="shared" ref="AM174:AM210" si="298">IF(F174&gt;AF174, X174, AE174)</f>
        <v>73.449318412283816</v>
      </c>
      <c r="AO174" t="str">
        <f t="shared" ref="AO174:AO210" si="299">IF(H174&gt;O174, "",AL174)</f>
        <v/>
      </c>
      <c r="AP174" t="str">
        <f t="shared" ref="AP174:AP210" si="300">IF(H174&gt;O174, "",AM174)</f>
        <v/>
      </c>
      <c r="AR174" s="6">
        <f t="shared" si="225"/>
        <v>13.614830220572312</v>
      </c>
      <c r="AS174" s="6">
        <f t="shared" si="222"/>
        <v>8.2857142857142847</v>
      </c>
      <c r="AT174" s="6">
        <f t="shared" si="223"/>
        <v>5.3291159348580273</v>
      </c>
      <c r="AU174" s="181">
        <f t="shared" si="224"/>
        <v>0.60858006684463728</v>
      </c>
      <c r="AW174" s="6">
        <f t="shared" si="246"/>
        <v>10.605714285714285</v>
      </c>
      <c r="AX174" s="6">
        <f t="shared" si="247"/>
        <v>19.885714285714286</v>
      </c>
      <c r="AY174" s="6">
        <f t="shared" si="248"/>
        <v>4.0602788075108771</v>
      </c>
      <c r="AZ174" s="6"/>
      <c r="BA174" s="181">
        <f t="shared" si="249"/>
        <v>0.65307977831728181</v>
      </c>
      <c r="BB174" s="181">
        <f t="shared" si="250"/>
        <v>0.52375579852292176</v>
      </c>
      <c r="BC174" s="181">
        <f t="shared" si="251"/>
        <v>0.51634915086704203</v>
      </c>
      <c r="BD174" s="181"/>
      <c r="BE174" s="548">
        <f t="shared" si="252"/>
        <v>0.14927961889643246</v>
      </c>
      <c r="BF174" s="548">
        <f t="shared" si="253"/>
        <v>2.369658635276306E-2</v>
      </c>
      <c r="BG174" s="548">
        <f t="shared" si="254"/>
        <v>9.1811648015354774E-4</v>
      </c>
      <c r="BH174" s="548">
        <f t="shared" si="255"/>
        <v>2.0908151837976722E-3</v>
      </c>
      <c r="BI174">
        <f t="shared" si="256"/>
        <v>2.0300000000000001E-3</v>
      </c>
      <c r="BJ174" s="474">
        <f t="shared" si="257"/>
        <v>178.01513691314673</v>
      </c>
      <c r="BK174" s="181">
        <f t="shared" si="258"/>
        <v>6.7199999999999996E-2</v>
      </c>
      <c r="BL174" s="181">
        <f t="shared" si="259"/>
        <v>6.7199999999999996E-2</v>
      </c>
      <c r="BM174" s="548"/>
      <c r="BO174" s="474">
        <f t="shared" si="260"/>
        <v>134.4</v>
      </c>
      <c r="BP174" s="548">
        <f t="shared" si="261"/>
        <v>0</v>
      </c>
      <c r="BQ174" s="548">
        <f t="shared" si="262"/>
        <v>0</v>
      </c>
      <c r="BR174" s="548">
        <f t="shared" si="263"/>
        <v>2.3995480104100377E-2</v>
      </c>
      <c r="BS174" s="548">
        <f t="shared" si="264"/>
        <v>5.8527427407892452E-3</v>
      </c>
      <c r="BT174" s="658">
        <f t="shared" ref="BT174:BT210" si="301">0.5*Lleak*0.000000001*AI174^2*AM174*1000</f>
        <v>0.16214855155991809</v>
      </c>
      <c r="BU174" s="474">
        <f t="shared" si="265"/>
        <v>191.99677440480772</v>
      </c>
      <c r="BV174" s="181">
        <f t="shared" si="266"/>
        <v>0.50441191131795438</v>
      </c>
      <c r="BW174" s="6">
        <f t="shared" si="267"/>
        <v>3.7112703957010256</v>
      </c>
      <c r="BX174" s="181">
        <f t="shared" si="268"/>
        <v>0.88034868982462833</v>
      </c>
      <c r="BY174" s="6">
        <f t="shared" si="269"/>
        <v>88.034868982462839</v>
      </c>
      <c r="BZ174">
        <f t="shared" si="270"/>
        <v>64</v>
      </c>
      <c r="CB174" s="583">
        <f t="shared" ref="CB174:CB210" si="302">IF(ABS(F174-Ioutmax_Vinmin)&lt;Iout/200, AM174, -50)</f>
        <v>-50</v>
      </c>
      <c r="CC174">
        <f t="shared" ref="CC174:CC210" si="303">IF(ABS(F174-Ioutmax_Vinmin)&lt;Iout/200, (O174+P174)*BX174, -50)</f>
        <v>-50</v>
      </c>
    </row>
    <row r="175" spans="5:81" x14ac:dyDescent="0.2">
      <c r="E175" s="178">
        <v>65</v>
      </c>
      <c r="F175" s="225">
        <f t="shared" ref="F175:F206" si="304">IF(PLOT_TYPE=1, E175/100*Iout_max, min_I*EXP(O175*rr/100))</f>
        <v>0.19500000000000001</v>
      </c>
      <c r="G175" s="225">
        <f t="shared" si="271"/>
        <v>0.19500000000000001</v>
      </c>
      <c r="H175" s="225">
        <f t="shared" si="272"/>
        <v>2.9250000000000003</v>
      </c>
      <c r="I175" s="225">
        <f t="shared" si="273"/>
        <v>1.56</v>
      </c>
      <c r="J175" s="561">
        <f t="shared" si="274"/>
        <v>7</v>
      </c>
      <c r="K175" s="456">
        <f t="shared" si="275"/>
        <v>10.72001240088685</v>
      </c>
      <c r="L175" s="456">
        <f t="shared" si="276"/>
        <v>22.25</v>
      </c>
      <c r="M175" s="456"/>
      <c r="N175" s="225">
        <f t="shared" si="277"/>
        <v>0.6853932584269663</v>
      </c>
      <c r="O175" s="180">
        <f t="shared" si="278"/>
        <v>2.0416524181729359</v>
      </c>
      <c r="P175" s="180">
        <f t="shared" si="279"/>
        <v>1.6696179775280899</v>
      </c>
      <c r="Q175" s="225">
        <f t="shared" si="280"/>
        <v>0.13611016121152905</v>
      </c>
      <c r="R175" s="225">
        <f t="shared" si="281"/>
        <v>0.25520655227161698</v>
      </c>
      <c r="S175" s="225">
        <f t="shared" si="282"/>
        <v>10.47001240088685</v>
      </c>
      <c r="T175" s="225">
        <f t="shared" si="283"/>
        <v>1.45</v>
      </c>
      <c r="U175" s="225">
        <f t="shared" si="284"/>
        <v>8.2857142857142847</v>
      </c>
      <c r="V175" s="225">
        <f t="shared" si="285"/>
        <v>5.4104415023999177</v>
      </c>
      <c r="W175" s="205">
        <f t="shared" si="286"/>
        <v>350</v>
      </c>
      <c r="X175" s="456">
        <f t="shared" si="287"/>
        <v>73.013188187288293</v>
      </c>
      <c r="Z175" s="225">
        <f t="shared" si="288"/>
        <v>0.30248320820447999</v>
      </c>
      <c r="AA175" s="181">
        <f t="shared" si="289"/>
        <v>1.1286673816886856</v>
      </c>
      <c r="AB175" s="181">
        <f t="shared" si="290"/>
        <v>3.8964464906455568E-2</v>
      </c>
      <c r="AC175" s="181"/>
      <c r="AD175" s="181">
        <f t="shared" si="291"/>
        <v>1.0820883004799835</v>
      </c>
      <c r="AE175" s="565">
        <f t="shared" si="292"/>
        <v>1242.807620792471</v>
      </c>
      <c r="AF175" s="548">
        <f t="shared" si="293"/>
        <v>5.4915981249359161E-2</v>
      </c>
      <c r="AH175" s="181">
        <f t="shared" si="294"/>
        <v>0.80044630407934647</v>
      </c>
      <c r="AI175" s="181">
        <f t="shared" si="295"/>
        <v>1.45</v>
      </c>
      <c r="AJ175" s="181">
        <f t="shared" si="296"/>
        <v>2.0592592592592593</v>
      </c>
      <c r="AL175" s="565">
        <f t="shared" si="297"/>
        <v>195</v>
      </c>
      <c r="AM175" s="474">
        <f t="shared" si="298"/>
        <v>73.013188187288293</v>
      </c>
      <c r="AO175" t="str">
        <f t="shared" si="299"/>
        <v/>
      </c>
      <c r="AP175" t="str">
        <f t="shared" si="300"/>
        <v/>
      </c>
      <c r="AR175" s="6">
        <f t="shared" si="225"/>
        <v>13.696155788114202</v>
      </c>
      <c r="AS175" s="6">
        <f t="shared" si="222"/>
        <v>8.2857142857142847</v>
      </c>
      <c r="AT175" s="6">
        <f t="shared" si="223"/>
        <v>5.4104415023999177</v>
      </c>
      <c r="AU175" s="181">
        <f t="shared" si="224"/>
        <v>0.60496641640895998</v>
      </c>
      <c r="AW175" s="6">
        <f t="shared" si="246"/>
        <v>10.77142857142857</v>
      </c>
      <c r="AX175" s="6">
        <f t="shared" si="247"/>
        <v>20.196428571428569</v>
      </c>
      <c r="AY175" s="6">
        <f t="shared" si="248"/>
        <v>4.1866511625713647</v>
      </c>
      <c r="AZ175" s="6"/>
      <c r="BA175" s="181">
        <f t="shared" si="249"/>
        <v>0.6511379501815362</v>
      </c>
      <c r="BB175" s="181">
        <f t="shared" si="250"/>
        <v>0.52616794197928907</v>
      </c>
      <c r="BC175" s="181">
        <f t="shared" si="251"/>
        <v>0.51872718320382438</v>
      </c>
      <c r="BD175" s="181"/>
      <c r="BE175" s="548">
        <f t="shared" si="252"/>
        <v>0.14839322055831444</v>
      </c>
      <c r="BF175" s="548">
        <f t="shared" si="253"/>
        <v>2.3555879838923884E-2</v>
      </c>
      <c r="BG175" s="548">
        <f t="shared" si="254"/>
        <v>9.1266485234110361E-4</v>
      </c>
      <c r="BH175" s="548">
        <f t="shared" si="255"/>
        <v>2.0784002599257409E-3</v>
      </c>
      <c r="BI175">
        <f t="shared" si="256"/>
        <v>2.0300000000000001E-3</v>
      </c>
      <c r="BJ175" s="474">
        <f t="shared" si="257"/>
        <v>176.97016550950514</v>
      </c>
      <c r="BK175" s="181">
        <f t="shared" si="258"/>
        <v>6.8249999999999991E-2</v>
      </c>
      <c r="BL175" s="181">
        <f t="shared" si="259"/>
        <v>6.8249999999999991E-2</v>
      </c>
      <c r="BM175" s="548"/>
      <c r="BO175" s="474">
        <f t="shared" si="260"/>
        <v>136.49999999999997</v>
      </c>
      <c r="BP175" s="548">
        <f t="shared" si="261"/>
        <v>0</v>
      </c>
      <c r="BQ175" s="548">
        <f t="shared" si="262"/>
        <v>0</v>
      </c>
      <c r="BR175" s="548">
        <f t="shared" si="263"/>
        <v>2.4217010153511659E-2</v>
      </c>
      <c r="BS175" s="548">
        <f t="shared" si="264"/>
        <v>5.7662476645717071E-3</v>
      </c>
      <c r="BT175" s="658">
        <f t="shared" si="301"/>
        <v>0.16118573957196233</v>
      </c>
      <c r="BU175" s="474">
        <f t="shared" si="265"/>
        <v>191.16899739004569</v>
      </c>
      <c r="BV175" s="181">
        <f t="shared" si="266"/>
        <v>0.5046391628995508</v>
      </c>
      <c r="BW175" s="6">
        <f t="shared" si="267"/>
        <v>3.7112703957010256</v>
      </c>
      <c r="BX175" s="181">
        <f t="shared" si="268"/>
        <v>0.8803012360950504</v>
      </c>
      <c r="BY175" s="6">
        <f t="shared" si="269"/>
        <v>88.03012360950504</v>
      </c>
      <c r="BZ175">
        <f t="shared" si="270"/>
        <v>65</v>
      </c>
      <c r="CB175" s="583">
        <f t="shared" si="302"/>
        <v>-50</v>
      </c>
      <c r="CC175">
        <f t="shared" si="303"/>
        <v>-50</v>
      </c>
    </row>
    <row r="176" spans="5:81" x14ac:dyDescent="0.2">
      <c r="E176" s="178">
        <v>66</v>
      </c>
      <c r="F176" s="225">
        <f t="shared" si="304"/>
        <v>0.19800000000000001</v>
      </c>
      <c r="G176" s="225">
        <f t="shared" si="271"/>
        <v>0.19800000000000001</v>
      </c>
      <c r="H176" s="225">
        <f t="shared" si="272"/>
        <v>2.97</v>
      </c>
      <c r="I176" s="225">
        <f t="shared" si="273"/>
        <v>1.5840000000000001</v>
      </c>
      <c r="J176" s="561">
        <f t="shared" si="274"/>
        <v>7</v>
      </c>
      <c r="K176" s="456">
        <f t="shared" si="275"/>
        <v>10.561375849358262</v>
      </c>
      <c r="L176" s="456">
        <f t="shared" si="276"/>
        <v>22.25</v>
      </c>
      <c r="M176" s="456"/>
      <c r="N176" s="225">
        <f t="shared" si="277"/>
        <v>0.6853932584269663</v>
      </c>
      <c r="O176" s="180">
        <f t="shared" si="278"/>
        <v>2.0416524181729359</v>
      </c>
      <c r="P176" s="180">
        <f t="shared" si="279"/>
        <v>1.6696179775280899</v>
      </c>
      <c r="Q176" s="225">
        <f t="shared" si="280"/>
        <v>0.13611016121152905</v>
      </c>
      <c r="R176" s="225">
        <f t="shared" si="281"/>
        <v>0.25520655227161698</v>
      </c>
      <c r="S176" s="225">
        <f t="shared" si="282"/>
        <v>10.311375849358262</v>
      </c>
      <c r="T176" s="225">
        <f t="shared" si="283"/>
        <v>1.45</v>
      </c>
      <c r="U176" s="225">
        <f t="shared" si="284"/>
        <v>8.2857142857142847</v>
      </c>
      <c r="V176" s="225">
        <f t="shared" si="285"/>
        <v>5.4917087344755595</v>
      </c>
      <c r="W176" s="205">
        <f t="shared" si="286"/>
        <v>350</v>
      </c>
      <c r="X176" s="456">
        <f t="shared" si="287"/>
        <v>72.58251405466541</v>
      </c>
      <c r="Z176" s="225">
        <f t="shared" si="288"/>
        <v>0.30069898679789941</v>
      </c>
      <c r="AA176" s="181">
        <f t="shared" si="289"/>
        <v>1.1388629325834312</v>
      </c>
      <c r="AB176" s="181">
        <f t="shared" si="290"/>
        <v>3.9084530046304161E-2</v>
      </c>
      <c r="AC176" s="181"/>
      <c r="AD176" s="181">
        <f t="shared" si="291"/>
        <v>1.098341746895112</v>
      </c>
      <c r="AE176" s="565">
        <f t="shared" si="292"/>
        <v>1243.2535185332556</v>
      </c>
      <c r="AF176" s="548">
        <f t="shared" si="293"/>
        <v>5.574084365492693E-2</v>
      </c>
      <c r="AH176" s="181">
        <f t="shared" si="294"/>
        <v>0.80658008193323782</v>
      </c>
      <c r="AI176" s="181">
        <f t="shared" si="295"/>
        <v>1.45</v>
      </c>
      <c r="AJ176" s="181">
        <f t="shared" si="296"/>
        <v>2.0592592592592593</v>
      </c>
      <c r="AL176" s="565">
        <f t="shared" si="297"/>
        <v>198</v>
      </c>
      <c r="AM176" s="474">
        <f t="shared" si="298"/>
        <v>72.58251405466541</v>
      </c>
      <c r="AO176" t="str">
        <f t="shared" si="299"/>
        <v/>
      </c>
      <c r="AP176" t="str">
        <f t="shared" si="300"/>
        <v/>
      </c>
      <c r="AR176" s="6">
        <f t="shared" si="225"/>
        <v>13.777423020189843</v>
      </c>
      <c r="AS176" s="6">
        <f t="shared" si="222"/>
        <v>8.2857142857142847</v>
      </c>
      <c r="AT176" s="6">
        <f t="shared" si="223"/>
        <v>5.4917087344755586</v>
      </c>
      <c r="AU176" s="181">
        <f t="shared" si="224"/>
        <v>0.60139797359579905</v>
      </c>
      <c r="AW176" s="6">
        <f t="shared" si="246"/>
        <v>10.937142857142856</v>
      </c>
      <c r="AX176" s="6">
        <f t="shared" si="247"/>
        <v>20.507142857142856</v>
      </c>
      <c r="AY176" s="6">
        <f t="shared" si="248"/>
        <v>4.3149140056593671</v>
      </c>
      <c r="AZ176" s="6"/>
      <c r="BA176" s="181">
        <f t="shared" si="249"/>
        <v>0.64921471524839591</v>
      </c>
      <c r="BB176" s="181">
        <f t="shared" si="250"/>
        <v>0.52853910625258127</v>
      </c>
      <c r="BC176" s="181">
        <f t="shared" si="251"/>
        <v>0.52106481586113063</v>
      </c>
      <c r="BD176" s="181"/>
      <c r="BE176" s="548">
        <f t="shared" si="252"/>
        <v>0.14751791127326952</v>
      </c>
      <c r="BF176" s="548">
        <f t="shared" si="253"/>
        <v>2.3416933596886423E-2</v>
      </c>
      <c r="BG176" s="548">
        <f t="shared" si="254"/>
        <v>9.072814256833176E-4</v>
      </c>
      <c r="BH176" s="548">
        <f t="shared" si="255"/>
        <v>2.0661406496907983E-3</v>
      </c>
      <c r="BI176">
        <f t="shared" si="256"/>
        <v>2.0300000000000001E-3</v>
      </c>
      <c r="BJ176" s="474">
        <f t="shared" si="257"/>
        <v>175.93826694553005</v>
      </c>
      <c r="BK176" s="181">
        <f t="shared" si="258"/>
        <v>6.93E-2</v>
      </c>
      <c r="BL176" s="181">
        <f t="shared" si="259"/>
        <v>6.93E-2</v>
      </c>
      <c r="BM176" s="548"/>
      <c r="BO176" s="474">
        <f t="shared" si="260"/>
        <v>138.6</v>
      </c>
      <c r="BP176" s="548">
        <f t="shared" si="261"/>
        <v>0</v>
      </c>
      <c r="BQ176" s="548">
        <f t="shared" si="262"/>
        <v>0</v>
      </c>
      <c r="BR176" s="548">
        <f t="shared" si="263"/>
        <v>2.4435768809555454E-2</v>
      </c>
      <c r="BS176" s="548">
        <f t="shared" si="264"/>
        <v>5.6815917860427272E-3</v>
      </c>
      <c r="BT176" s="658">
        <f t="shared" si="301"/>
        <v>0.16023497258993075</v>
      </c>
      <c r="BU176" s="474">
        <f t="shared" si="265"/>
        <v>190.35233318552895</v>
      </c>
      <c r="BV176" s="181">
        <f t="shared" si="266"/>
        <v>0.50489060013105891</v>
      </c>
      <c r="BW176" s="6">
        <f t="shared" si="267"/>
        <v>3.7112703957010256</v>
      </c>
      <c r="BX176" s="181">
        <f t="shared" si="268"/>
        <v>0.88024873797984182</v>
      </c>
      <c r="BY176" s="6">
        <f t="shared" si="269"/>
        <v>88.024873797984185</v>
      </c>
      <c r="BZ176">
        <f t="shared" si="270"/>
        <v>66</v>
      </c>
      <c r="CB176" s="583">
        <f t="shared" si="302"/>
        <v>-50</v>
      </c>
      <c r="CC176">
        <f t="shared" si="303"/>
        <v>-50</v>
      </c>
    </row>
    <row r="177" spans="5:81" x14ac:dyDescent="0.2">
      <c r="E177" s="178">
        <v>67</v>
      </c>
      <c r="F177" s="225">
        <f t="shared" si="304"/>
        <v>0.20100000000000001</v>
      </c>
      <c r="G177" s="225">
        <f t="shared" si="271"/>
        <v>0.20100000000000001</v>
      </c>
      <c r="H177" s="225">
        <f t="shared" si="272"/>
        <v>3.0150000000000001</v>
      </c>
      <c r="I177" s="225">
        <f t="shared" si="273"/>
        <v>1.6080000000000001</v>
      </c>
      <c r="J177" s="561">
        <f t="shared" si="274"/>
        <v>7</v>
      </c>
      <c r="K177" s="456">
        <f t="shared" si="275"/>
        <v>10.407474717278287</v>
      </c>
      <c r="L177" s="456">
        <f t="shared" si="276"/>
        <v>22.25</v>
      </c>
      <c r="M177" s="456"/>
      <c r="N177" s="225">
        <f t="shared" si="277"/>
        <v>0.6853932584269663</v>
      </c>
      <c r="O177" s="180">
        <f t="shared" si="278"/>
        <v>2.0416524181729359</v>
      </c>
      <c r="P177" s="180">
        <f t="shared" si="279"/>
        <v>1.6696179775280899</v>
      </c>
      <c r="Q177" s="225">
        <f t="shared" si="280"/>
        <v>0.13611016121152905</v>
      </c>
      <c r="R177" s="225">
        <f t="shared" si="281"/>
        <v>0.25520655227161698</v>
      </c>
      <c r="S177" s="225">
        <f t="shared" si="282"/>
        <v>10.157474717278287</v>
      </c>
      <c r="T177" s="225">
        <f t="shared" si="283"/>
        <v>1.45</v>
      </c>
      <c r="U177" s="225">
        <f t="shared" si="284"/>
        <v>8.2857142857142847</v>
      </c>
      <c r="V177" s="225">
        <f t="shared" si="285"/>
        <v>5.5729176938291793</v>
      </c>
      <c r="W177" s="205">
        <f t="shared" si="286"/>
        <v>350</v>
      </c>
      <c r="X177" s="456">
        <f t="shared" si="287"/>
        <v>72.157194265356509</v>
      </c>
      <c r="Z177" s="225">
        <f t="shared" si="288"/>
        <v>0.29893694767076262</v>
      </c>
      <c r="AA177" s="181">
        <f t="shared" si="289"/>
        <v>1.1489317275956417</v>
      </c>
      <c r="AB177" s="181">
        <f t="shared" si="290"/>
        <v>3.9199027273479792E-2</v>
      </c>
      <c r="AC177" s="181"/>
      <c r="AD177" s="181">
        <f t="shared" si="291"/>
        <v>1.1145835387658358</v>
      </c>
      <c r="AE177" s="565">
        <f t="shared" si="292"/>
        <v>1243.6994162740405</v>
      </c>
      <c r="AF177" s="548">
        <f t="shared" si="293"/>
        <v>5.6565114592366156E-2</v>
      </c>
      <c r="AH177" s="181">
        <f t="shared" si="294"/>
        <v>0.81266756513876659</v>
      </c>
      <c r="AI177" s="181">
        <f t="shared" si="295"/>
        <v>1.45</v>
      </c>
      <c r="AJ177" s="181">
        <f t="shared" si="296"/>
        <v>2.0592592592592593</v>
      </c>
      <c r="AL177" s="565">
        <f t="shared" si="297"/>
        <v>201</v>
      </c>
      <c r="AM177" s="474">
        <f t="shared" si="298"/>
        <v>72.157194265356509</v>
      </c>
      <c r="AO177" t="str">
        <f t="shared" si="299"/>
        <v/>
      </c>
      <c r="AP177" t="str">
        <f t="shared" si="300"/>
        <v/>
      </c>
      <c r="AR177" s="6">
        <f t="shared" si="225"/>
        <v>13.858631979543466</v>
      </c>
      <c r="AS177" s="6">
        <f t="shared" si="222"/>
        <v>8.2857142857142847</v>
      </c>
      <c r="AT177" s="6">
        <f t="shared" si="223"/>
        <v>5.5729176938291811</v>
      </c>
      <c r="AU177" s="181">
        <f t="shared" si="224"/>
        <v>0.59787389534152524</v>
      </c>
      <c r="AW177" s="6">
        <f t="shared" si="246"/>
        <v>11.102857142857141</v>
      </c>
      <c r="AX177" s="6">
        <f t="shared" si="247"/>
        <v>20.817857142857143</v>
      </c>
      <c r="AY177" s="6">
        <f t="shared" si="248"/>
        <v>4.4450653034113703</v>
      </c>
      <c r="AZ177" s="6"/>
      <c r="BA177" s="181">
        <f t="shared" si="249"/>
        <v>0.64730978285916974</v>
      </c>
      <c r="BB177" s="181">
        <f t="shared" si="250"/>
        <v>0.53087039694086136</v>
      </c>
      <c r="BC177" s="181">
        <f t="shared" si="251"/>
        <v>0.52336313880230367</v>
      </c>
      <c r="BD177" s="181"/>
      <c r="BE177" s="548">
        <f t="shared" si="252"/>
        <v>0.14665348424481489</v>
      </c>
      <c r="BF177" s="548">
        <f t="shared" si="253"/>
        <v>2.3279714799860643E-2</v>
      </c>
      <c r="BG177" s="548">
        <f t="shared" si="254"/>
        <v>9.0196492831695629E-4</v>
      </c>
      <c r="BH177" s="548">
        <f t="shared" si="255"/>
        <v>2.0540334566946004E-3</v>
      </c>
      <c r="BI177">
        <f t="shared" si="256"/>
        <v>2.0300000000000001E-3</v>
      </c>
      <c r="BJ177" s="474">
        <f t="shared" si="257"/>
        <v>174.9191974296871</v>
      </c>
      <c r="BK177" s="181">
        <f t="shared" si="258"/>
        <v>7.0349999999999996E-2</v>
      </c>
      <c r="BL177" s="181">
        <f t="shared" si="259"/>
        <v>7.0349999999999996E-2</v>
      </c>
      <c r="BM177" s="548"/>
      <c r="BO177" s="474">
        <f t="shared" si="260"/>
        <v>140.69999999999999</v>
      </c>
      <c r="BP177" s="548">
        <f t="shared" si="261"/>
        <v>0</v>
      </c>
      <c r="BQ177" s="548">
        <f t="shared" si="262"/>
        <v>0</v>
      </c>
      <c r="BR177" s="548">
        <f t="shared" si="263"/>
        <v>2.4651807755129946E-2</v>
      </c>
      <c r="BS177" s="548">
        <f t="shared" si="264"/>
        <v>5.5987245938923427E-3</v>
      </c>
      <c r="BT177" s="658">
        <f t="shared" si="301"/>
        <v>0.15929602599005768</v>
      </c>
      <c r="BU177" s="474">
        <f t="shared" si="265"/>
        <v>189.54655833907995</v>
      </c>
      <c r="BV177" s="181">
        <f t="shared" si="266"/>
        <v>0.50516575576876699</v>
      </c>
      <c r="BW177" s="6">
        <f t="shared" si="267"/>
        <v>3.7112703957010256</v>
      </c>
      <c r="BX177" s="181">
        <f t="shared" si="268"/>
        <v>0.88019129482307623</v>
      </c>
      <c r="BY177" s="6">
        <f t="shared" si="269"/>
        <v>88.019129482307619</v>
      </c>
      <c r="BZ177">
        <f t="shared" si="270"/>
        <v>67</v>
      </c>
      <c r="CB177" s="583">
        <f t="shared" si="302"/>
        <v>-50</v>
      </c>
      <c r="CC177">
        <f t="shared" si="303"/>
        <v>-50</v>
      </c>
    </row>
    <row r="178" spans="5:81" x14ac:dyDescent="0.2">
      <c r="E178" s="178">
        <v>68</v>
      </c>
      <c r="F178" s="225">
        <f t="shared" si="304"/>
        <v>0.20400000000000001</v>
      </c>
      <c r="G178" s="225">
        <f t="shared" si="271"/>
        <v>0.20400000000000001</v>
      </c>
      <c r="H178" s="225">
        <f t="shared" si="272"/>
        <v>3.06</v>
      </c>
      <c r="I178" s="225">
        <f t="shared" si="273"/>
        <v>1.6320000000000001</v>
      </c>
      <c r="J178" s="561">
        <f t="shared" si="274"/>
        <v>7</v>
      </c>
      <c r="K178" s="456">
        <f t="shared" si="275"/>
        <v>10.258100089083019</v>
      </c>
      <c r="L178" s="456">
        <f t="shared" si="276"/>
        <v>22.25</v>
      </c>
      <c r="M178" s="456"/>
      <c r="N178" s="225">
        <f t="shared" si="277"/>
        <v>0.6853932584269663</v>
      </c>
      <c r="O178" s="180">
        <f t="shared" si="278"/>
        <v>2.0416524181729359</v>
      </c>
      <c r="P178" s="180">
        <f t="shared" si="279"/>
        <v>1.6696179775280899</v>
      </c>
      <c r="Q178" s="225">
        <f t="shared" si="280"/>
        <v>0.13611016121152905</v>
      </c>
      <c r="R178" s="225">
        <f t="shared" si="281"/>
        <v>0.25520655227161698</v>
      </c>
      <c r="S178" s="225">
        <f t="shared" si="282"/>
        <v>10.008100089083019</v>
      </c>
      <c r="T178" s="225">
        <f t="shared" si="283"/>
        <v>1.45</v>
      </c>
      <c r="U178" s="225">
        <f t="shared" si="284"/>
        <v>8.2857142857142847</v>
      </c>
      <c r="V178" s="225">
        <f t="shared" si="285"/>
        <v>5.6540684431150519</v>
      </c>
      <c r="W178" s="205">
        <f t="shared" si="286"/>
        <v>350</v>
      </c>
      <c r="X178" s="456">
        <f t="shared" si="287"/>
        <v>71.737129584657453</v>
      </c>
      <c r="Z178" s="225">
        <f t="shared" si="288"/>
        <v>0.29719667970786656</v>
      </c>
      <c r="AA178" s="181">
        <f t="shared" si="289"/>
        <v>1.1588761159550482</v>
      </c>
      <c r="AB178" s="181">
        <f t="shared" si="290"/>
        <v>3.9308134842099822E-2</v>
      </c>
      <c r="AC178" s="181"/>
      <c r="AD178" s="181">
        <f t="shared" si="291"/>
        <v>1.1308136886230105</v>
      </c>
      <c r="AE178" s="565">
        <f t="shared" si="292"/>
        <v>1244.1453140148253</v>
      </c>
      <c r="AF178" s="548">
        <f t="shared" si="293"/>
        <v>5.7388794697617776E-2</v>
      </c>
      <c r="AH178" s="181">
        <f t="shared" si="294"/>
        <v>0.81870978636249014</v>
      </c>
      <c r="AI178" s="181">
        <f t="shared" si="295"/>
        <v>1.45</v>
      </c>
      <c r="AJ178" s="181">
        <f t="shared" si="296"/>
        <v>2.0592592592592593</v>
      </c>
      <c r="AL178" s="565">
        <f t="shared" si="297"/>
        <v>204.00000000000003</v>
      </c>
      <c r="AM178" s="474">
        <f t="shared" si="298"/>
        <v>71.737129584657453</v>
      </c>
      <c r="AO178" t="str">
        <f t="shared" si="299"/>
        <v/>
      </c>
      <c r="AP178" t="str">
        <f t="shared" si="300"/>
        <v/>
      </c>
      <c r="AR178" s="6">
        <f t="shared" si="225"/>
        <v>13.939782728829337</v>
      </c>
      <c r="AS178" s="6">
        <f t="shared" si="222"/>
        <v>8.2857142857142847</v>
      </c>
      <c r="AT178" s="6">
        <f t="shared" si="223"/>
        <v>5.6540684431150527</v>
      </c>
      <c r="AU178" s="181">
        <f t="shared" si="224"/>
        <v>0.59439335941573312</v>
      </c>
      <c r="AW178" s="6">
        <f t="shared" si="246"/>
        <v>11.268571428571429</v>
      </c>
      <c r="AX178" s="6">
        <f t="shared" si="247"/>
        <v>21.128571428571426</v>
      </c>
      <c r="AY178" s="6">
        <f t="shared" si="248"/>
        <v>4.5771030253788521</v>
      </c>
      <c r="AZ178" s="6"/>
      <c r="BA178" s="181">
        <f t="shared" si="249"/>
        <v>0.64542286866094711</v>
      </c>
      <c r="BB178" s="181">
        <f t="shared" si="250"/>
        <v>0.5331628774988062</v>
      </c>
      <c r="BC178" s="181">
        <f t="shared" si="251"/>
        <v>0.52562320044326749</v>
      </c>
      <c r="BD178" s="181"/>
      <c r="BE178" s="548">
        <f t="shared" si="252"/>
        <v>0.14579973778668415</v>
      </c>
      <c r="BF178" s="548">
        <f t="shared" si="253"/>
        <v>2.3144191432250109E-2</v>
      </c>
      <c r="BG178" s="548">
        <f t="shared" si="254"/>
        <v>8.967141198082181E-4</v>
      </c>
      <c r="BH178" s="548">
        <f t="shared" si="255"/>
        <v>2.0420758561127575E-3</v>
      </c>
      <c r="BI178">
        <f t="shared" si="256"/>
        <v>2.0300000000000001E-3</v>
      </c>
      <c r="BJ178" s="474">
        <f t="shared" si="257"/>
        <v>173.91271919485524</v>
      </c>
      <c r="BK178" s="181">
        <f t="shared" si="258"/>
        <v>7.1400000000000005E-2</v>
      </c>
      <c r="BL178" s="181">
        <f t="shared" si="259"/>
        <v>7.1400000000000005E-2</v>
      </c>
      <c r="BM178" s="548"/>
      <c r="BO178" s="474">
        <f t="shared" si="260"/>
        <v>142.80000000000001</v>
      </c>
      <c r="BP178" s="548">
        <f t="shared" si="261"/>
        <v>0</v>
      </c>
      <c r="BQ178" s="548">
        <f t="shared" si="262"/>
        <v>0</v>
      </c>
      <c r="BR178" s="548">
        <f t="shared" si="263"/>
        <v>2.4865177395980102E-2</v>
      </c>
      <c r="BS178" s="548">
        <f t="shared" si="264"/>
        <v>5.5175972702021609E-3</v>
      </c>
      <c r="BT178" s="658">
        <f t="shared" si="301"/>
        <v>0.15836868069932944</v>
      </c>
      <c r="BU178" s="474">
        <f t="shared" si="265"/>
        <v>188.7514553655117</v>
      </c>
      <c r="BV178" s="181">
        <f t="shared" si="266"/>
        <v>0.50546417456036696</v>
      </c>
      <c r="BW178" s="6">
        <f t="shared" si="267"/>
        <v>3.7112703957010256</v>
      </c>
      <c r="BX178" s="181">
        <f t="shared" si="268"/>
        <v>0.88012900358368218</v>
      </c>
      <c r="BY178" s="6">
        <f t="shared" si="269"/>
        <v>88.012900358368213</v>
      </c>
      <c r="BZ178">
        <f t="shared" si="270"/>
        <v>68</v>
      </c>
      <c r="CB178" s="583">
        <f t="shared" si="302"/>
        <v>-50</v>
      </c>
      <c r="CC178">
        <f t="shared" si="303"/>
        <v>-50</v>
      </c>
    </row>
    <row r="179" spans="5:81" x14ac:dyDescent="0.2">
      <c r="E179" s="178">
        <v>69</v>
      </c>
      <c r="F179" s="225">
        <f t="shared" si="304"/>
        <v>0.20699999999999999</v>
      </c>
      <c r="G179" s="225">
        <f t="shared" si="271"/>
        <v>0.20699999999999999</v>
      </c>
      <c r="H179" s="225">
        <f t="shared" si="272"/>
        <v>3.105</v>
      </c>
      <c r="I179" s="225">
        <f t="shared" si="273"/>
        <v>1.6559999999999999</v>
      </c>
      <c r="J179" s="561">
        <f t="shared" si="274"/>
        <v>7</v>
      </c>
      <c r="K179" s="456">
        <f t="shared" si="275"/>
        <v>10.11305516025573</v>
      </c>
      <c r="L179" s="456">
        <f t="shared" si="276"/>
        <v>22.25</v>
      </c>
      <c r="M179" s="456"/>
      <c r="N179" s="225">
        <f t="shared" si="277"/>
        <v>0.6853932584269663</v>
      </c>
      <c r="O179" s="180">
        <f t="shared" si="278"/>
        <v>2.0416524181729359</v>
      </c>
      <c r="P179" s="180">
        <f t="shared" si="279"/>
        <v>1.6696179775280899</v>
      </c>
      <c r="Q179" s="225">
        <f t="shared" si="280"/>
        <v>0.13611016121152905</v>
      </c>
      <c r="R179" s="225">
        <f t="shared" si="281"/>
        <v>0.25520655227161698</v>
      </c>
      <c r="S179" s="225">
        <f t="shared" si="282"/>
        <v>9.8630551602557297</v>
      </c>
      <c r="T179" s="225">
        <f t="shared" si="283"/>
        <v>1.45</v>
      </c>
      <c r="U179" s="225">
        <f t="shared" si="284"/>
        <v>8.2857142857142847</v>
      </c>
      <c r="V179" s="225">
        <f t="shared" si="285"/>
        <v>5.7351610448976684</v>
      </c>
      <c r="W179" s="205">
        <f t="shared" si="286"/>
        <v>350</v>
      </c>
      <c r="X179" s="456">
        <f t="shared" si="287"/>
        <v>71.322223215029055</v>
      </c>
      <c r="Z179" s="225">
        <f t="shared" si="288"/>
        <v>0.29547778189083462</v>
      </c>
      <c r="AA179" s="181">
        <f t="shared" si="289"/>
        <v>1.1686983891952307</v>
      </c>
      <c r="AB179" s="181">
        <f t="shared" si="290"/>
        <v>3.9412024796275869E-2</v>
      </c>
      <c r="AC179" s="181"/>
      <c r="AD179" s="181">
        <f t="shared" si="291"/>
        <v>1.1470322089795335</v>
      </c>
      <c r="AE179" s="565">
        <f t="shared" si="292"/>
        <v>1244.5912117556102</v>
      </c>
      <c r="AF179" s="548">
        <f t="shared" si="293"/>
        <v>5.821188460571132E-2</v>
      </c>
      <c r="AH179" s="181">
        <f t="shared" si="294"/>
        <v>0.82470774044073158</v>
      </c>
      <c r="AI179" s="181">
        <f t="shared" si="295"/>
        <v>1.45</v>
      </c>
      <c r="AJ179" s="181">
        <f t="shared" si="296"/>
        <v>2.0592592592592593</v>
      </c>
      <c r="AL179" s="565">
        <f t="shared" si="297"/>
        <v>207</v>
      </c>
      <c r="AM179" s="474">
        <f t="shared" si="298"/>
        <v>71.322223215029055</v>
      </c>
      <c r="AO179" t="str">
        <f t="shared" si="299"/>
        <v/>
      </c>
      <c r="AP179" t="str">
        <f t="shared" si="300"/>
        <v/>
      </c>
      <c r="AR179" s="6">
        <f t="shared" si="225"/>
        <v>14.020875330611952</v>
      </c>
      <c r="AS179" s="6">
        <f t="shared" ref="AS179:AS242" si="305">L*AI179/J179*1000000</f>
        <v>8.2857142857142847</v>
      </c>
      <c r="AT179" s="6">
        <f t="shared" ref="AT179:AT242" si="306">AR179-AS179</f>
        <v>5.7351610448976675</v>
      </c>
      <c r="AU179" s="181">
        <f t="shared" ref="AU179:AU242" si="307">AS179/AR179</f>
        <v>0.59095556378166925</v>
      </c>
      <c r="AW179" s="6">
        <f t="shared" si="246"/>
        <v>11.434285714285712</v>
      </c>
      <c r="AX179" s="6">
        <f t="shared" si="247"/>
        <v>21.43928571428571</v>
      </c>
      <c r="AY179" s="6">
        <f t="shared" si="248"/>
        <v>4.7110251440230826</v>
      </c>
      <c r="AZ179" s="6"/>
      <c r="BA179" s="181">
        <f t="shared" si="249"/>
        <v>0.64355369443193045</v>
      </c>
      <c r="BB179" s="181">
        <f t="shared" si="250"/>
        <v>0.53541757135561663</v>
      </c>
      <c r="BC179" s="181">
        <f t="shared" si="251"/>
        <v>0.52784600974048668</v>
      </c>
      <c r="BD179" s="181"/>
      <c r="BE179" s="548">
        <f t="shared" si="252"/>
        <v>0.14495647516594529</v>
      </c>
      <c r="BF179" s="548">
        <f t="shared" si="253"/>
        <v>2.3010332264748749E-2</v>
      </c>
      <c r="BG179" s="548">
        <f t="shared" si="254"/>
        <v>8.915277901878632E-4</v>
      </c>
      <c r="BH179" s="548">
        <f t="shared" si="255"/>
        <v>2.0302650924974431E-3</v>
      </c>
      <c r="BI179">
        <f t="shared" si="256"/>
        <v>2.0300000000000001E-3</v>
      </c>
      <c r="BJ179" s="474">
        <f t="shared" si="257"/>
        <v>172.91860031337933</v>
      </c>
      <c r="BK179" s="181">
        <f t="shared" si="258"/>
        <v>7.2449999999999987E-2</v>
      </c>
      <c r="BL179" s="181">
        <f t="shared" si="259"/>
        <v>7.2449999999999987E-2</v>
      </c>
      <c r="BM179" s="548"/>
      <c r="BO179" s="474">
        <f t="shared" si="260"/>
        <v>144.89999999999998</v>
      </c>
      <c r="BP179" s="548">
        <f t="shared" si="261"/>
        <v>0</v>
      </c>
      <c r="BQ179" s="548">
        <f t="shared" si="262"/>
        <v>0</v>
      </c>
      <c r="BR179" s="548">
        <f t="shared" si="263"/>
        <v>2.5075926899905857E-2</v>
      </c>
      <c r="BS179" s="548">
        <f t="shared" si="264"/>
        <v>5.4381626235845805E-3</v>
      </c>
      <c r="BT179" s="658">
        <f t="shared" si="301"/>
        <v>0.15745272302507854</v>
      </c>
      <c r="BU179" s="474">
        <f t="shared" si="265"/>
        <v>187.96681254856898</v>
      </c>
      <c r="BV179" s="181">
        <f t="shared" si="266"/>
        <v>0.50578541286194822</v>
      </c>
      <c r="BW179" s="6">
        <f t="shared" si="267"/>
        <v>3.7112703957010256</v>
      </c>
      <c r="BX179" s="181">
        <f t="shared" si="268"/>
        <v>0.88006195890627714</v>
      </c>
      <c r="BY179" s="6">
        <f t="shared" si="269"/>
        <v>88.006195890627708</v>
      </c>
      <c r="BZ179">
        <f t="shared" si="270"/>
        <v>69</v>
      </c>
      <c r="CB179" s="583">
        <f t="shared" si="302"/>
        <v>-50</v>
      </c>
      <c r="CC179">
        <f t="shared" si="303"/>
        <v>-50</v>
      </c>
    </row>
    <row r="180" spans="5:81" x14ac:dyDescent="0.2">
      <c r="E180" s="178">
        <v>70</v>
      </c>
      <c r="F180" s="225">
        <f t="shared" si="304"/>
        <v>0.21</v>
      </c>
      <c r="G180" s="225">
        <f t="shared" si="271"/>
        <v>0.21</v>
      </c>
      <c r="H180" s="225">
        <f t="shared" si="272"/>
        <v>3.15</v>
      </c>
      <c r="I180" s="225">
        <f t="shared" si="273"/>
        <v>1.68</v>
      </c>
      <c r="J180" s="561">
        <f t="shared" si="274"/>
        <v>7</v>
      </c>
      <c r="K180" s="456">
        <f t="shared" si="275"/>
        <v>9.972154372252076</v>
      </c>
      <c r="L180" s="456">
        <f t="shared" si="276"/>
        <v>22.25</v>
      </c>
      <c r="M180" s="456"/>
      <c r="N180" s="225">
        <f t="shared" si="277"/>
        <v>0.6853932584269663</v>
      </c>
      <c r="O180" s="180">
        <f t="shared" si="278"/>
        <v>2.0416524181729359</v>
      </c>
      <c r="P180" s="180">
        <f t="shared" si="279"/>
        <v>1.6696179775280899</v>
      </c>
      <c r="Q180" s="225">
        <f t="shared" si="280"/>
        <v>0.13611016121152905</v>
      </c>
      <c r="R180" s="225">
        <f t="shared" si="281"/>
        <v>0.25520655227161698</v>
      </c>
      <c r="S180" s="225">
        <f t="shared" si="282"/>
        <v>9.722154372252076</v>
      </c>
      <c r="T180" s="225">
        <f t="shared" si="283"/>
        <v>1.45</v>
      </c>
      <c r="U180" s="225">
        <f t="shared" si="284"/>
        <v>8.2857142857142847</v>
      </c>
      <c r="V180" s="225">
        <f t="shared" si="285"/>
        <v>5.816195561651889</v>
      </c>
      <c r="W180" s="205">
        <f t="shared" si="286"/>
        <v>350</v>
      </c>
      <c r="X180" s="456">
        <f t="shared" si="287"/>
        <v>70.91238072173401</v>
      </c>
      <c r="Z180" s="225">
        <f t="shared" si="288"/>
        <v>0.29377986299004089</v>
      </c>
      <c r="AA180" s="181">
        <f t="shared" si="289"/>
        <v>1.1784007829140524</v>
      </c>
      <c r="AB180" s="181">
        <f t="shared" si="290"/>
        <v>3.9510863215156476E-2</v>
      </c>
      <c r="AC180" s="181"/>
      <c r="AD180" s="181">
        <f t="shared" si="291"/>
        <v>1.1632391123303778</v>
      </c>
      <c r="AE180" s="565">
        <f t="shared" si="292"/>
        <v>1245.0371094963946</v>
      </c>
      <c r="AF180" s="548">
        <f t="shared" si="293"/>
        <v>5.9034384950766669E-2</v>
      </c>
      <c r="AH180" s="181">
        <f t="shared" si="294"/>
        <v>0.83066238629180744</v>
      </c>
      <c r="AI180" s="181">
        <f t="shared" si="295"/>
        <v>1.45</v>
      </c>
      <c r="AJ180" s="181">
        <f t="shared" si="296"/>
        <v>2.0592592592592593</v>
      </c>
      <c r="AL180" s="565">
        <f t="shared" si="297"/>
        <v>210</v>
      </c>
      <c r="AM180" s="474">
        <f t="shared" si="298"/>
        <v>70.91238072173401</v>
      </c>
      <c r="AO180" t="str">
        <f t="shared" si="299"/>
        <v/>
      </c>
      <c r="AP180" t="str">
        <f t="shared" si="300"/>
        <v/>
      </c>
      <c r="AR180" s="6">
        <f t="shared" si="225"/>
        <v>14.101909847366173</v>
      </c>
      <c r="AS180" s="6">
        <f t="shared" si="305"/>
        <v>8.2857142857142847</v>
      </c>
      <c r="AT180" s="6">
        <f t="shared" si="306"/>
        <v>5.8161955616518881</v>
      </c>
      <c r="AU180" s="181">
        <f t="shared" si="307"/>
        <v>0.58755972598008177</v>
      </c>
      <c r="AW180" s="6">
        <f t="shared" si="246"/>
        <v>11.6</v>
      </c>
      <c r="AX180" s="6">
        <f t="shared" si="247"/>
        <v>21.75</v>
      </c>
      <c r="AY180" s="6">
        <f t="shared" si="248"/>
        <v>4.8468296347099065</v>
      </c>
      <c r="AZ180" s="6"/>
      <c r="BA180" s="181">
        <f t="shared" si="249"/>
        <v>0.64170198791264521</v>
      </c>
      <c r="BB180" s="181">
        <f t="shared" si="250"/>
        <v>0.53763546389937178</v>
      </c>
      <c r="BC180" s="181">
        <f t="shared" si="251"/>
        <v>0.53003253814725937</v>
      </c>
      <c r="BD180" s="181"/>
      <c r="BE180" s="548">
        <f t="shared" si="252"/>
        <v>0.14412350445186423</v>
      </c>
      <c r="BF180" s="548">
        <f t="shared" si="253"/>
        <v>2.2878106830349434E-2</v>
      </c>
      <c r="BG180" s="548">
        <f t="shared" si="254"/>
        <v>8.8640475902167508E-4</v>
      </c>
      <c r="BH180" s="548">
        <f t="shared" si="255"/>
        <v>2.0185984776605729E-3</v>
      </c>
      <c r="BI180">
        <f t="shared" si="256"/>
        <v>2.0300000000000001E-3</v>
      </c>
      <c r="BJ180" s="474">
        <f t="shared" si="257"/>
        <v>171.93661451889591</v>
      </c>
      <c r="BK180" s="181">
        <f t="shared" si="258"/>
        <v>7.3499999999999996E-2</v>
      </c>
      <c r="BL180" s="181">
        <f t="shared" si="259"/>
        <v>7.3499999999999996E-2</v>
      </c>
      <c r="BM180" s="548"/>
      <c r="BO180" s="474">
        <f t="shared" si="260"/>
        <v>147</v>
      </c>
      <c r="BP180" s="548">
        <f t="shared" si="261"/>
        <v>0</v>
      </c>
      <c r="BQ180" s="548">
        <f t="shared" si="262"/>
        <v>0</v>
      </c>
      <c r="BR180" s="548">
        <f t="shared" si="263"/>
        <v>2.5284104234534335E-2</v>
      </c>
      <c r="BS180" s="548">
        <f t="shared" si="264"/>
        <v>5.3603750253542574E-3</v>
      </c>
      <c r="BT180" s="658">
        <f t="shared" si="301"/>
        <v>0.15654794449081808</v>
      </c>
      <c r="BU180" s="474">
        <f t="shared" si="265"/>
        <v>187.19242375070667</v>
      </c>
      <c r="BV180" s="181">
        <f t="shared" si="266"/>
        <v>0.50612903826960254</v>
      </c>
      <c r="BW180" s="6">
        <f t="shared" si="267"/>
        <v>3.7112703957010256</v>
      </c>
      <c r="BX180" s="181">
        <f t="shared" si="268"/>
        <v>0.8799902531894902</v>
      </c>
      <c r="BY180" s="6">
        <f t="shared" si="269"/>
        <v>87.999025318949023</v>
      </c>
      <c r="BZ180">
        <f t="shared" si="270"/>
        <v>70</v>
      </c>
      <c r="CB180" s="583">
        <f t="shared" si="302"/>
        <v>-50</v>
      </c>
      <c r="CC180">
        <f t="shared" si="303"/>
        <v>-50</v>
      </c>
    </row>
    <row r="181" spans="5:81" x14ac:dyDescent="0.2">
      <c r="E181" s="178">
        <v>71</v>
      </c>
      <c r="F181" s="225">
        <f t="shared" si="304"/>
        <v>0.21299999999999999</v>
      </c>
      <c r="G181" s="225">
        <f t="shared" si="271"/>
        <v>0.21299999999999999</v>
      </c>
      <c r="H181" s="225">
        <f t="shared" si="272"/>
        <v>3.1949999999999998</v>
      </c>
      <c r="I181" s="225">
        <f t="shared" si="273"/>
        <v>1.704</v>
      </c>
      <c r="J181" s="561">
        <f t="shared" si="274"/>
        <v>7</v>
      </c>
      <c r="K181" s="456">
        <f t="shared" si="275"/>
        <v>9.8352226205302156</v>
      </c>
      <c r="L181" s="456">
        <f t="shared" si="276"/>
        <v>22.25</v>
      </c>
      <c r="M181" s="456"/>
      <c r="N181" s="225">
        <f t="shared" si="277"/>
        <v>0.6853932584269663</v>
      </c>
      <c r="O181" s="180">
        <f t="shared" si="278"/>
        <v>2.0416524181729359</v>
      </c>
      <c r="P181" s="180">
        <f t="shared" si="279"/>
        <v>1.6696179775280899</v>
      </c>
      <c r="Q181" s="225">
        <f t="shared" si="280"/>
        <v>0.13611016121152905</v>
      </c>
      <c r="R181" s="225">
        <f t="shared" si="281"/>
        <v>0.25520655227161698</v>
      </c>
      <c r="S181" s="225">
        <f t="shared" si="282"/>
        <v>9.5852226205302156</v>
      </c>
      <c r="T181" s="225">
        <f t="shared" si="283"/>
        <v>1.45</v>
      </c>
      <c r="U181" s="225">
        <f t="shared" si="284"/>
        <v>8.2857142857142847</v>
      </c>
      <c r="V181" s="225">
        <f t="shared" si="285"/>
        <v>5.8971720557631091</v>
      </c>
      <c r="W181" s="205">
        <f t="shared" si="286"/>
        <v>350</v>
      </c>
      <c r="X181" s="456">
        <f t="shared" si="287"/>
        <v>70.50750996117992</v>
      </c>
      <c r="Z181" s="225">
        <f t="shared" si="288"/>
        <v>0.29210254126774532</v>
      </c>
      <c r="AA181" s="181">
        <f t="shared" si="289"/>
        <v>1.1879854784700263</v>
      </c>
      <c r="AB181" s="181">
        <f t="shared" si="290"/>
        <v>3.9604810447042033E-2</v>
      </c>
      <c r="AC181" s="181"/>
      <c r="AD181" s="181">
        <f t="shared" si="291"/>
        <v>1.1794344111526218</v>
      </c>
      <c r="AE181" s="565">
        <f t="shared" si="292"/>
        <v>1245.4830072371794</v>
      </c>
      <c r="AF181" s="548">
        <f t="shared" si="293"/>
        <v>5.9856296365995557E-2</v>
      </c>
      <c r="AH181" s="181">
        <f t="shared" si="294"/>
        <v>0.83657464870574627</v>
      </c>
      <c r="AI181" s="181">
        <f t="shared" si="295"/>
        <v>1.45</v>
      </c>
      <c r="AJ181" s="181">
        <f t="shared" si="296"/>
        <v>2.0592592592592593</v>
      </c>
      <c r="AL181" s="565">
        <f t="shared" si="297"/>
        <v>213</v>
      </c>
      <c r="AM181" s="474">
        <f t="shared" si="298"/>
        <v>70.50750996117992</v>
      </c>
      <c r="AO181" t="str">
        <f t="shared" si="299"/>
        <v/>
      </c>
      <c r="AP181" t="str">
        <f t="shared" si="300"/>
        <v/>
      </c>
      <c r="AR181" s="6">
        <f t="shared" si="225"/>
        <v>14.182886341477394</v>
      </c>
      <c r="AS181" s="6">
        <f t="shared" si="305"/>
        <v>8.2857142857142847</v>
      </c>
      <c r="AT181" s="6">
        <f t="shared" si="306"/>
        <v>5.8971720557631091</v>
      </c>
      <c r="AU181" s="181">
        <f t="shared" si="307"/>
        <v>0.58420508253549075</v>
      </c>
      <c r="AW181" s="6">
        <f t="shared" si="246"/>
        <v>11.765714285714283</v>
      </c>
      <c r="AX181" s="6">
        <f t="shared" si="247"/>
        <v>22.060714285714283</v>
      </c>
      <c r="AY181" s="6">
        <f t="shared" si="248"/>
        <v>4.9845144757045317</v>
      </c>
      <c r="AZ181" s="6"/>
      <c r="BA181" s="181">
        <f t="shared" si="249"/>
        <v>0.63986748264279147</v>
      </c>
      <c r="BB181" s="181">
        <f t="shared" si="250"/>
        <v>0.53981750433800335</v>
      </c>
      <c r="BC181" s="181">
        <f t="shared" si="251"/>
        <v>0.532183721448375</v>
      </c>
      <c r="BD181" s="181"/>
      <c r="BE181" s="548">
        <f t="shared" si="252"/>
        <v>0.14330063837026805</v>
      </c>
      <c r="BF181" s="548">
        <f t="shared" si="253"/>
        <v>2.2747485401225669E-2</v>
      </c>
      <c r="BG181" s="548">
        <f t="shared" si="254"/>
        <v>8.8134387451474895E-4</v>
      </c>
      <c r="BH181" s="548">
        <f t="shared" si="255"/>
        <v>2.0070733886340059E-3</v>
      </c>
      <c r="BI181">
        <f t="shared" si="256"/>
        <v>2.0300000000000001E-3</v>
      </c>
      <c r="BJ181" s="474">
        <f t="shared" si="257"/>
        <v>170.96654103464249</v>
      </c>
      <c r="BK181" s="181">
        <f t="shared" si="258"/>
        <v>7.4549999999999991E-2</v>
      </c>
      <c r="BL181" s="181">
        <f t="shared" si="259"/>
        <v>7.4549999999999991E-2</v>
      </c>
      <c r="BM181" s="548"/>
      <c r="BO181" s="474">
        <f t="shared" si="260"/>
        <v>149.1</v>
      </c>
      <c r="BP181" s="548">
        <f t="shared" si="261"/>
        <v>0</v>
      </c>
      <c r="BQ181" s="548">
        <f t="shared" si="262"/>
        <v>0</v>
      </c>
      <c r="BR181" s="548">
        <f t="shared" si="263"/>
        <v>2.5489756203717739E-2</v>
      </c>
      <c r="BS181" s="548">
        <f t="shared" si="264"/>
        <v>5.284190348576974E-3</v>
      </c>
      <c r="BT181" s="658">
        <f t="shared" si="301"/>
        <v>0.15565414167804986</v>
      </c>
      <c r="BU181" s="474">
        <f t="shared" si="265"/>
        <v>186.42808823034457</v>
      </c>
      <c r="BV181" s="181">
        <f t="shared" si="266"/>
        <v>0.50649462926498701</v>
      </c>
      <c r="BW181" s="6">
        <f t="shared" si="267"/>
        <v>3.7112703957010256</v>
      </c>
      <c r="BX181" s="181">
        <f t="shared" si="268"/>
        <v>0.87991397665187188</v>
      </c>
      <c r="BY181" s="6">
        <f t="shared" si="269"/>
        <v>87.991397665187193</v>
      </c>
      <c r="BZ181">
        <f t="shared" si="270"/>
        <v>71</v>
      </c>
      <c r="CB181" s="583">
        <f t="shared" si="302"/>
        <v>-50</v>
      </c>
      <c r="CC181">
        <f t="shared" si="303"/>
        <v>-50</v>
      </c>
    </row>
    <row r="182" spans="5:81" x14ac:dyDescent="0.2">
      <c r="E182" s="178">
        <v>72</v>
      </c>
      <c r="F182" s="225">
        <f t="shared" si="304"/>
        <v>0.216</v>
      </c>
      <c r="G182" s="225">
        <f t="shared" si="271"/>
        <v>0.216</v>
      </c>
      <c r="H182" s="225">
        <f t="shared" si="272"/>
        <v>3.2399999999999998</v>
      </c>
      <c r="I182" s="225">
        <f t="shared" si="273"/>
        <v>1.728</v>
      </c>
      <c r="J182" s="561">
        <f t="shared" si="274"/>
        <v>7</v>
      </c>
      <c r="K182" s="456">
        <f t="shared" si="275"/>
        <v>9.7020945285784066</v>
      </c>
      <c r="L182" s="456">
        <f t="shared" si="276"/>
        <v>22.25</v>
      </c>
      <c r="M182" s="456"/>
      <c r="N182" s="225">
        <f t="shared" si="277"/>
        <v>0.6853932584269663</v>
      </c>
      <c r="O182" s="180">
        <f t="shared" si="278"/>
        <v>2.0416524181729359</v>
      </c>
      <c r="P182" s="180">
        <f t="shared" si="279"/>
        <v>1.6696179775280899</v>
      </c>
      <c r="Q182" s="225">
        <f t="shared" si="280"/>
        <v>0.13611016121152905</v>
      </c>
      <c r="R182" s="225">
        <f t="shared" si="281"/>
        <v>0.25520655227161698</v>
      </c>
      <c r="S182" s="225">
        <f t="shared" si="282"/>
        <v>9.4520945285784066</v>
      </c>
      <c r="T182" s="225">
        <f t="shared" si="283"/>
        <v>1.45</v>
      </c>
      <c r="U182" s="225">
        <f t="shared" si="284"/>
        <v>8.2857142857142847</v>
      </c>
      <c r="V182" s="225">
        <f t="shared" si="285"/>
        <v>5.9780905895274152</v>
      </c>
      <c r="W182" s="205">
        <f t="shared" si="286"/>
        <v>350</v>
      </c>
      <c r="X182" s="456">
        <f t="shared" si="287"/>
        <v>70.107521011854502</v>
      </c>
      <c r="Z182" s="225">
        <f t="shared" si="288"/>
        <v>0.29044544419196855</v>
      </c>
      <c r="AA182" s="181">
        <f t="shared" si="289"/>
        <v>1.1974546046173222</v>
      </c>
      <c r="AB182" s="181">
        <f t="shared" si="290"/>
        <v>3.9694021333118043E-2</v>
      </c>
      <c r="AC182" s="181"/>
      <c r="AD182" s="181">
        <f t="shared" si="291"/>
        <v>1.195618117905483</v>
      </c>
      <c r="AE182" s="565">
        <f t="shared" si="292"/>
        <v>1245.9289049779643</v>
      </c>
      <c r="AF182" s="548">
        <f t="shared" si="293"/>
        <v>6.067761948370326E-2</v>
      </c>
      <c r="AH182" s="181">
        <f t="shared" si="294"/>
        <v>0.84244542002095635</v>
      </c>
      <c r="AI182" s="181">
        <f t="shared" si="295"/>
        <v>1.45</v>
      </c>
      <c r="AJ182" s="181">
        <f t="shared" si="296"/>
        <v>2.0592592592592593</v>
      </c>
      <c r="AL182" s="565">
        <f t="shared" si="297"/>
        <v>216</v>
      </c>
      <c r="AM182" s="474">
        <f t="shared" si="298"/>
        <v>70.107521011854502</v>
      </c>
      <c r="AO182" t="str">
        <f t="shared" si="299"/>
        <v/>
      </c>
      <c r="AP182" t="str">
        <f t="shared" si="300"/>
        <v/>
      </c>
      <c r="AR182" s="6">
        <f t="shared" si="225"/>
        <v>14.263804875241698</v>
      </c>
      <c r="AS182" s="6">
        <f t="shared" si="305"/>
        <v>8.2857142857142847</v>
      </c>
      <c r="AT182" s="6">
        <f t="shared" si="306"/>
        <v>5.9780905895274135</v>
      </c>
      <c r="AU182" s="181">
        <f t="shared" si="307"/>
        <v>0.58089088838393721</v>
      </c>
      <c r="AW182" s="6">
        <f t="shared" si="246"/>
        <v>11.931428571428569</v>
      </c>
      <c r="AX182" s="6">
        <f t="shared" si="247"/>
        <v>22.371428571428567</v>
      </c>
      <c r="AY182" s="6">
        <f t="shared" si="248"/>
        <v>5.1240776481663532</v>
      </c>
      <c r="AZ182" s="6"/>
      <c r="BA182" s="181">
        <f t="shared" si="249"/>
        <v>0.63804991780351794</v>
      </c>
      <c r="BB182" s="181">
        <f t="shared" si="250"/>
        <v>0.54196460744614805</v>
      </c>
      <c r="BC182" s="181">
        <f t="shared" si="251"/>
        <v>0.53430046148226307</v>
      </c>
      <c r="BD182" s="181"/>
      <c r="BE182" s="548">
        <f t="shared" si="252"/>
        <v>0.14248769416317658</v>
      </c>
      <c r="BF182" s="548">
        <f t="shared" si="253"/>
        <v>2.261843896644956E-2</v>
      </c>
      <c r="BG182" s="548">
        <f t="shared" si="254"/>
        <v>8.7634401264818126E-4</v>
      </c>
      <c r="BH182" s="548">
        <f t="shared" si="255"/>
        <v>1.995687265703545E-3</v>
      </c>
      <c r="BI182">
        <f t="shared" si="256"/>
        <v>2.0300000000000001E-3</v>
      </c>
      <c r="BJ182" s="474">
        <f t="shared" si="257"/>
        <v>170.00816440797786</v>
      </c>
      <c r="BK182" s="181">
        <f t="shared" si="258"/>
        <v>7.5600000000000001E-2</v>
      </c>
      <c r="BL182" s="181">
        <f t="shared" si="259"/>
        <v>7.5600000000000001E-2</v>
      </c>
      <c r="BM182" s="548"/>
      <c r="BO182" s="474">
        <f t="shared" si="260"/>
        <v>151.19999999999999</v>
      </c>
      <c r="BP182" s="548">
        <f t="shared" si="261"/>
        <v>0</v>
      </c>
      <c r="BQ182" s="548">
        <f t="shared" si="262"/>
        <v>0</v>
      </c>
      <c r="BR182" s="548">
        <f t="shared" si="263"/>
        <v>2.5692928482614334E-2</v>
      </c>
      <c r="BS182" s="548">
        <f t="shared" si="264"/>
        <v>5.2095659098494165E-3</v>
      </c>
      <c r="BT182" s="658">
        <f t="shared" si="301"/>
        <v>0.15477111607379532</v>
      </c>
      <c r="BU182" s="474">
        <f t="shared" si="265"/>
        <v>185.67361046625908</v>
      </c>
      <c r="BV182" s="181">
        <f t="shared" si="266"/>
        <v>0.50688177487423691</v>
      </c>
      <c r="BW182" s="6">
        <f t="shared" si="267"/>
        <v>3.7112703957010256</v>
      </c>
      <c r="BX182" s="181">
        <f t="shared" si="268"/>
        <v>0.87983321739549536</v>
      </c>
      <c r="BY182" s="6">
        <f t="shared" si="269"/>
        <v>87.983321739549538</v>
      </c>
      <c r="BZ182">
        <f t="shared" si="270"/>
        <v>72</v>
      </c>
      <c r="CB182" s="583">
        <f t="shared" si="302"/>
        <v>-50</v>
      </c>
      <c r="CC182">
        <f t="shared" si="303"/>
        <v>-50</v>
      </c>
    </row>
    <row r="183" spans="5:81" x14ac:dyDescent="0.2">
      <c r="E183" s="178">
        <v>73</v>
      </c>
      <c r="F183" s="225">
        <f t="shared" si="304"/>
        <v>0.219</v>
      </c>
      <c r="G183" s="225">
        <f t="shared" si="271"/>
        <v>0.219</v>
      </c>
      <c r="H183" s="225">
        <f t="shared" si="272"/>
        <v>3.2850000000000001</v>
      </c>
      <c r="I183" s="225">
        <f t="shared" si="273"/>
        <v>1.752</v>
      </c>
      <c r="J183" s="561">
        <f t="shared" si="274"/>
        <v>7</v>
      </c>
      <c r="K183" s="456">
        <f t="shared" si="275"/>
        <v>9.5726137816115795</v>
      </c>
      <c r="L183" s="456">
        <f t="shared" si="276"/>
        <v>22.25</v>
      </c>
      <c r="M183" s="456"/>
      <c r="N183" s="225">
        <f t="shared" si="277"/>
        <v>0.6853932584269663</v>
      </c>
      <c r="O183" s="180">
        <f t="shared" si="278"/>
        <v>2.0416524181729359</v>
      </c>
      <c r="P183" s="180">
        <f t="shared" si="279"/>
        <v>1.6696179775280899</v>
      </c>
      <c r="Q183" s="225">
        <f t="shared" si="280"/>
        <v>0.13611016121152905</v>
      </c>
      <c r="R183" s="225">
        <f t="shared" si="281"/>
        <v>0.25520655227161698</v>
      </c>
      <c r="S183" s="225">
        <f t="shared" si="282"/>
        <v>9.3226137816115795</v>
      </c>
      <c r="T183" s="225">
        <f t="shared" si="283"/>
        <v>1.45</v>
      </c>
      <c r="U183" s="225">
        <f t="shared" si="284"/>
        <v>8.2857142857142847</v>
      </c>
      <c r="V183" s="225">
        <f t="shared" si="285"/>
        <v>6.0589512251517501</v>
      </c>
      <c r="W183" s="205">
        <f t="shared" si="286"/>
        <v>348.56163053871961</v>
      </c>
      <c r="X183" s="456">
        <f t="shared" si="287"/>
        <v>69.71232610774392</v>
      </c>
      <c r="Z183" s="225">
        <f t="shared" si="288"/>
        <v>0.28999999999999998</v>
      </c>
      <c r="AA183" s="181">
        <f t="shared" si="289"/>
        <v>1.2117902450303499</v>
      </c>
      <c r="AB183" s="181">
        <f t="shared" si="290"/>
        <v>3.9942795413093819E-2</v>
      </c>
      <c r="AC183" s="181"/>
      <c r="AD183" s="181">
        <f t="shared" si="291"/>
        <v>1.2117902450303499</v>
      </c>
      <c r="AE183" s="565">
        <f t="shared" si="292"/>
        <v>1246.3748027187489</v>
      </c>
      <c r="AF183" s="548">
        <f t="shared" si="293"/>
        <v>6.1245619633410527E-2</v>
      </c>
      <c r="AH183" s="181">
        <f t="shared" si="294"/>
        <v>0.84827556169645035</v>
      </c>
      <c r="AI183" s="181">
        <f t="shared" si="295"/>
        <v>1.45</v>
      </c>
      <c r="AJ183" s="181">
        <f t="shared" si="296"/>
        <v>2.0592592592592593</v>
      </c>
      <c r="AL183" s="565">
        <f t="shared" si="297"/>
        <v>219</v>
      </c>
      <c r="AM183" s="474">
        <f t="shared" si="298"/>
        <v>69.71232610774392</v>
      </c>
      <c r="AO183" t="str">
        <f t="shared" si="299"/>
        <v/>
      </c>
      <c r="AP183" t="str">
        <f t="shared" si="300"/>
        <v/>
      </c>
      <c r="AR183" s="6">
        <f t="shared" si="225"/>
        <v>14.344665510866035</v>
      </c>
      <c r="AS183" s="6">
        <f t="shared" si="305"/>
        <v>8.2857142857142847</v>
      </c>
      <c r="AT183" s="6">
        <f t="shared" si="306"/>
        <v>6.0589512251517501</v>
      </c>
      <c r="AU183" s="181">
        <f t="shared" si="307"/>
        <v>0.57761641632130667</v>
      </c>
      <c r="AW183" s="6">
        <f t="shared" si="246"/>
        <v>12.097142857142854</v>
      </c>
      <c r="AX183" s="6">
        <f t="shared" si="247"/>
        <v>22.682142857142853</v>
      </c>
      <c r="AY183" s="6">
        <f t="shared" si="248"/>
        <v>5.2655171361437825</v>
      </c>
      <c r="AZ183" s="6"/>
      <c r="BA183" s="181">
        <f t="shared" si="249"/>
        <v>0.63624903806490407</v>
      </c>
      <c r="BB183" s="181">
        <f t="shared" si="250"/>
        <v>0.54407765520632956</v>
      </c>
      <c r="BC183" s="181">
        <f t="shared" si="251"/>
        <v>0.53638362775896731</v>
      </c>
      <c r="BD183" s="181"/>
      <c r="BE183" s="548">
        <f t="shared" si="252"/>
        <v>0.1416844934534805</v>
      </c>
      <c r="BF183" s="548">
        <f t="shared" si="253"/>
        <v>2.2490939210510878E-2</v>
      </c>
      <c r="BG183" s="548">
        <f t="shared" si="254"/>
        <v>8.7140407634679899E-4</v>
      </c>
      <c r="BH183" s="548">
        <f t="shared" si="255"/>
        <v>1.9844376105136109E-3</v>
      </c>
      <c r="BI183">
        <f t="shared" si="256"/>
        <v>2.0300000000000001E-3</v>
      </c>
      <c r="BJ183" s="474">
        <f t="shared" si="257"/>
        <v>169.06127435085179</v>
      </c>
      <c r="BK183" s="181">
        <f t="shared" si="258"/>
        <v>7.6649999999999996E-2</v>
      </c>
      <c r="BL183" s="181">
        <f t="shared" si="259"/>
        <v>7.6649999999999996E-2</v>
      </c>
      <c r="BM183" s="548"/>
      <c r="BO183" s="474">
        <f t="shared" si="260"/>
        <v>153.29999999999998</v>
      </c>
      <c r="BP183" s="548">
        <f t="shared" si="261"/>
        <v>0</v>
      </c>
      <c r="BQ183" s="548">
        <f t="shared" si="262"/>
        <v>0</v>
      </c>
      <c r="BR183" s="548">
        <f t="shared" si="263"/>
        <v>2.5893665651508333E-2</v>
      </c>
      <c r="BS183" s="548">
        <f t="shared" si="264"/>
        <v>5.1364604136721762E-3</v>
      </c>
      <c r="BT183" s="658">
        <f t="shared" si="301"/>
        <v>0.15389867392360818</v>
      </c>
      <c r="BU183" s="474">
        <f t="shared" si="265"/>
        <v>184.92879998878868</v>
      </c>
      <c r="BV183" s="181">
        <f t="shared" si="266"/>
        <v>0.50729007433964046</v>
      </c>
      <c r="BW183" s="6">
        <f t="shared" si="267"/>
        <v>3.7112703957010256</v>
      </c>
      <c r="BX183" s="181">
        <f t="shared" si="268"/>
        <v>0.87974806146733975</v>
      </c>
      <c r="BY183" s="6">
        <f t="shared" si="269"/>
        <v>87.974806146733968</v>
      </c>
      <c r="BZ183">
        <f t="shared" si="270"/>
        <v>73</v>
      </c>
      <c r="CB183" s="583">
        <f t="shared" si="302"/>
        <v>-50</v>
      </c>
      <c r="CC183">
        <f t="shared" si="303"/>
        <v>-50</v>
      </c>
    </row>
    <row r="184" spans="5:81" x14ac:dyDescent="0.2">
      <c r="E184" s="178">
        <v>74</v>
      </c>
      <c r="F184" s="225">
        <f t="shared" si="304"/>
        <v>0.222</v>
      </c>
      <c r="G184" s="225">
        <f t="shared" si="271"/>
        <v>0.222</v>
      </c>
      <c r="H184" s="225">
        <f t="shared" si="272"/>
        <v>3.33</v>
      </c>
      <c r="I184" s="225">
        <f t="shared" si="273"/>
        <v>1.776</v>
      </c>
      <c r="J184" s="561">
        <f t="shared" si="274"/>
        <v>7</v>
      </c>
      <c r="K184" s="456">
        <f t="shared" si="275"/>
        <v>9.4466325142925029</v>
      </c>
      <c r="L184" s="456">
        <f t="shared" si="276"/>
        <v>22.25</v>
      </c>
      <c r="M184" s="456"/>
      <c r="N184" s="225">
        <f t="shared" si="277"/>
        <v>0.6853932584269663</v>
      </c>
      <c r="O184" s="180">
        <f t="shared" si="278"/>
        <v>2.0416524181729359</v>
      </c>
      <c r="P184" s="180">
        <f t="shared" si="279"/>
        <v>1.6696179775280899</v>
      </c>
      <c r="Q184" s="225">
        <f t="shared" si="280"/>
        <v>0.13611016121152905</v>
      </c>
      <c r="R184" s="225">
        <f t="shared" si="281"/>
        <v>0.25520655227161698</v>
      </c>
      <c r="S184" s="225">
        <f t="shared" si="282"/>
        <v>9.1966325142925029</v>
      </c>
      <c r="T184" s="225">
        <f t="shared" si="283"/>
        <v>1.45</v>
      </c>
      <c r="U184" s="225">
        <f t="shared" si="284"/>
        <v>8.2857142857142847</v>
      </c>
      <c r="V184" s="225">
        <f t="shared" si="285"/>
        <v>6.1397540247540645</v>
      </c>
      <c r="W184" s="205">
        <f t="shared" si="286"/>
        <v>346.60919787065592</v>
      </c>
      <c r="X184" s="456">
        <f t="shared" si="287"/>
        <v>69.321839574131175</v>
      </c>
      <c r="Z184" s="225">
        <f t="shared" si="288"/>
        <v>0.28999999999999998</v>
      </c>
      <c r="AA184" s="181">
        <f t="shared" si="289"/>
        <v>1.227950804950813</v>
      </c>
      <c r="AB184" s="181">
        <f t="shared" si="290"/>
        <v>4.0248757377163692E-2</v>
      </c>
      <c r="AC184" s="181"/>
      <c r="AD184" s="181">
        <f t="shared" si="291"/>
        <v>1.227950804950813</v>
      </c>
      <c r="AE184" s="565">
        <f t="shared" si="292"/>
        <v>1246.8207004595336</v>
      </c>
      <c r="AF184" s="548">
        <f t="shared" si="293"/>
        <v>6.1714761311650997E-2</v>
      </c>
      <c r="AH184" s="181">
        <f t="shared" si="294"/>
        <v>0.85406590578746988</v>
      </c>
      <c r="AI184" s="181">
        <f t="shared" si="295"/>
        <v>1.45</v>
      </c>
      <c r="AJ184" s="181">
        <f t="shared" si="296"/>
        <v>2.0592592592592593</v>
      </c>
      <c r="AL184" s="565">
        <f t="shared" si="297"/>
        <v>222</v>
      </c>
      <c r="AM184" s="474">
        <f t="shared" si="298"/>
        <v>69.321839574131175</v>
      </c>
      <c r="AO184" t="str">
        <f t="shared" si="299"/>
        <v/>
      </c>
      <c r="AP184" t="str">
        <f t="shared" si="300"/>
        <v/>
      </c>
      <c r="AR184" s="6">
        <f t="shared" si="225"/>
        <v>14.42546831046835</v>
      </c>
      <c r="AS184" s="6">
        <f t="shared" si="305"/>
        <v>8.2857142857142847</v>
      </c>
      <c r="AT184" s="6">
        <f t="shared" si="306"/>
        <v>6.1397540247540654</v>
      </c>
      <c r="AU184" s="181">
        <f t="shared" si="307"/>
        <v>0.57438095647137244</v>
      </c>
      <c r="AW184" s="6">
        <f t="shared" si="246"/>
        <v>12.262857142857142</v>
      </c>
      <c r="AX184" s="6">
        <f t="shared" si="247"/>
        <v>22.99285714285714</v>
      </c>
      <c r="AY184" s="6">
        <f t="shared" si="248"/>
        <v>5.4088309265690571</v>
      </c>
      <c r="AZ184" s="6"/>
      <c r="BA184" s="181">
        <f t="shared" si="249"/>
        <v>0.63446459343845196</v>
      </c>
      <c r="BB184" s="181">
        <f t="shared" si="250"/>
        <v>0.54615749835218141</v>
      </c>
      <c r="BC184" s="181">
        <f t="shared" si="251"/>
        <v>0.53843405898154451</v>
      </c>
      <c r="BD184" s="181"/>
      <c r="BE184" s="548">
        <f t="shared" si="252"/>
        <v>0.14089086211445703</v>
      </c>
      <c r="BF184" s="548">
        <f t="shared" si="253"/>
        <v>2.2364958492604069E-2</v>
      </c>
      <c r="BG184" s="548">
        <f t="shared" si="254"/>
        <v>8.6652299467663966E-4</v>
      </c>
      <c r="BH184" s="548">
        <f t="shared" si="255"/>
        <v>1.9733219842396781E-3</v>
      </c>
      <c r="BI184">
        <f t="shared" si="256"/>
        <v>2.0300000000000001E-3</v>
      </c>
      <c r="BJ184" s="474">
        <f t="shared" si="257"/>
        <v>168.1256655859774</v>
      </c>
      <c r="BK184" s="181">
        <f t="shared" si="258"/>
        <v>7.7699999999999991E-2</v>
      </c>
      <c r="BL184" s="181">
        <f t="shared" si="259"/>
        <v>7.7699999999999991E-2</v>
      </c>
      <c r="BM184" s="548"/>
      <c r="BO184" s="474">
        <f t="shared" si="260"/>
        <v>155.39999999999998</v>
      </c>
      <c r="BP184" s="548">
        <f t="shared" si="261"/>
        <v>0</v>
      </c>
      <c r="BQ184" s="548">
        <f t="shared" si="262"/>
        <v>0</v>
      </c>
      <c r="BR184" s="548">
        <f t="shared" si="263"/>
        <v>2.6092011228420718E-2</v>
      </c>
      <c r="BS184" s="548">
        <f t="shared" si="264"/>
        <v>5.0648338992853627E-3</v>
      </c>
      <c r="BT184" s="658">
        <f t="shared" si="301"/>
        <v>0.15303662608984134</v>
      </c>
      <c r="BU184" s="474">
        <f t="shared" si="265"/>
        <v>184.19347121754743</v>
      </c>
      <c r="BV184" s="181">
        <f t="shared" si="266"/>
        <v>0.50771913680352476</v>
      </c>
      <c r="BW184" s="6">
        <f t="shared" si="267"/>
        <v>3.7112703957010256</v>
      </c>
      <c r="BX184" s="181">
        <f t="shared" si="268"/>
        <v>0.87965859291854565</v>
      </c>
      <c r="BY184" s="6">
        <f t="shared" si="269"/>
        <v>87.965859291854571</v>
      </c>
      <c r="BZ184">
        <f t="shared" si="270"/>
        <v>74</v>
      </c>
      <c r="CB184" s="583">
        <f t="shared" si="302"/>
        <v>-50</v>
      </c>
      <c r="CC184">
        <f t="shared" si="303"/>
        <v>-50</v>
      </c>
    </row>
    <row r="185" spans="5:81" x14ac:dyDescent="0.2">
      <c r="E185" s="178">
        <v>75</v>
      </c>
      <c r="F185" s="225">
        <f t="shared" si="304"/>
        <v>0.22499999999999998</v>
      </c>
      <c r="G185" s="225">
        <f t="shared" si="271"/>
        <v>0.22499999999999998</v>
      </c>
      <c r="H185" s="225">
        <f t="shared" si="272"/>
        <v>3.3749999999999996</v>
      </c>
      <c r="I185" s="225">
        <f t="shared" si="273"/>
        <v>1.7999999999999998</v>
      </c>
      <c r="J185" s="561">
        <f t="shared" si="274"/>
        <v>7</v>
      </c>
      <c r="K185" s="456">
        <f t="shared" si="275"/>
        <v>9.3240107474352723</v>
      </c>
      <c r="L185" s="456">
        <f t="shared" si="276"/>
        <v>22.25</v>
      </c>
      <c r="M185" s="456"/>
      <c r="N185" s="225">
        <f t="shared" si="277"/>
        <v>0.6853932584269663</v>
      </c>
      <c r="O185" s="180">
        <f t="shared" si="278"/>
        <v>2.0416524181729359</v>
      </c>
      <c r="P185" s="180">
        <f t="shared" si="279"/>
        <v>1.6696179775280899</v>
      </c>
      <c r="Q185" s="225">
        <f t="shared" si="280"/>
        <v>0.13611016121152905</v>
      </c>
      <c r="R185" s="225">
        <f t="shared" si="281"/>
        <v>0.25520655227161698</v>
      </c>
      <c r="S185" s="225">
        <f t="shared" si="282"/>
        <v>9.0740107474352723</v>
      </c>
      <c r="T185" s="225">
        <f t="shared" si="283"/>
        <v>1.45</v>
      </c>
      <c r="U185" s="225">
        <f t="shared" si="284"/>
        <v>8.2857142857142847</v>
      </c>
      <c r="V185" s="225">
        <f t="shared" si="285"/>
        <v>6.2204990503634807</v>
      </c>
      <c r="W185" s="205">
        <f t="shared" si="286"/>
        <v>344.6798888283767</v>
      </c>
      <c r="X185" s="456">
        <f t="shared" si="287"/>
        <v>68.935977765675332</v>
      </c>
      <c r="Z185" s="225">
        <f t="shared" si="288"/>
        <v>0.29000000000000004</v>
      </c>
      <c r="AA185" s="181">
        <f t="shared" si="289"/>
        <v>1.2440998100726963</v>
      </c>
      <c r="AB185" s="181">
        <f t="shared" si="290"/>
        <v>4.0551095682360608E-2</v>
      </c>
      <c r="AC185" s="181"/>
      <c r="AD185" s="181">
        <f t="shared" si="291"/>
        <v>1.2440998100726961</v>
      </c>
      <c r="AE185" s="565">
        <f t="shared" si="292"/>
        <v>1247.2665982003189</v>
      </c>
      <c r="AF185" s="548">
        <f t="shared" si="293"/>
        <v>6.21783467129529E-2</v>
      </c>
      <c r="AH185" s="181">
        <f t="shared" si="294"/>
        <v>0.85981725633166606</v>
      </c>
      <c r="AI185" s="181">
        <f t="shared" si="295"/>
        <v>1.45</v>
      </c>
      <c r="AJ185" s="181">
        <f t="shared" si="296"/>
        <v>2.0592592592592593</v>
      </c>
      <c r="AL185" s="565">
        <f t="shared" si="297"/>
        <v>224.99999999999997</v>
      </c>
      <c r="AM185" s="474">
        <f t="shared" si="298"/>
        <v>68.935977765675332</v>
      </c>
      <c r="AO185" t="str">
        <f t="shared" si="299"/>
        <v/>
      </c>
      <c r="AP185" t="str">
        <f t="shared" si="300"/>
        <v/>
      </c>
      <c r="AR185" s="6">
        <f t="shared" si="225"/>
        <v>14.506213336077769</v>
      </c>
      <c r="AS185" s="6">
        <f t="shared" si="305"/>
        <v>8.2857142857142847</v>
      </c>
      <c r="AT185" s="6">
        <f t="shared" si="306"/>
        <v>6.2204990503634843</v>
      </c>
      <c r="AU185" s="181">
        <f t="shared" si="307"/>
        <v>0.57118381577273836</v>
      </c>
      <c r="AW185" s="6">
        <f t="shared" si="246"/>
        <v>12.428571428571425</v>
      </c>
      <c r="AX185" s="6">
        <f t="shared" si="247"/>
        <v>23.303571428571423</v>
      </c>
      <c r="AY185" s="6">
        <f t="shared" si="248"/>
        <v>5.5540170092531103</v>
      </c>
      <c r="AZ185" s="6"/>
      <c r="BA185" s="181">
        <f t="shared" si="249"/>
        <v>0.63269633913439138</v>
      </c>
      <c r="BB185" s="181">
        <f t="shared" si="250"/>
        <v>0.54820495782077028</v>
      </c>
      <c r="BC185" s="181">
        <f t="shared" si="251"/>
        <v>0.54045256447785028</v>
      </c>
      <c r="BD185" s="181"/>
      <c r="BE185" s="548">
        <f t="shared" si="252"/>
        <v>0.14010663014392127</v>
      </c>
      <c r="BF185" s="548">
        <f t="shared" si="253"/>
        <v>2.2240469826651003E-2</v>
      </c>
      <c r="BG185" s="548">
        <f t="shared" si="254"/>
        <v>8.6169972207094162E-4</v>
      </c>
      <c r="BH185" s="548">
        <f t="shared" si="255"/>
        <v>1.9623380058256291E-3</v>
      </c>
      <c r="BI185">
        <f t="shared" si="256"/>
        <v>2.0300000000000001E-3</v>
      </c>
      <c r="BJ185" s="474">
        <f t="shared" si="257"/>
        <v>167.20113769846887</v>
      </c>
      <c r="BK185" s="181">
        <f t="shared" si="258"/>
        <v>7.8749999999999987E-2</v>
      </c>
      <c r="BL185" s="181">
        <f t="shared" si="259"/>
        <v>7.8749999999999987E-2</v>
      </c>
      <c r="BM185" s="548"/>
      <c r="BO185" s="474">
        <f t="shared" si="260"/>
        <v>157.49999999999997</v>
      </c>
      <c r="BP185" s="548">
        <f t="shared" si="261"/>
        <v>0</v>
      </c>
      <c r="BQ185" s="548">
        <f t="shared" si="262"/>
        <v>0</v>
      </c>
      <c r="BR185" s="548">
        <f t="shared" si="263"/>
        <v>2.6288007700561642E-2</v>
      </c>
      <c r="BS185" s="548">
        <f t="shared" si="264"/>
        <v>4.9946476898440834E-3</v>
      </c>
      <c r="BT185" s="658">
        <f t="shared" si="301"/>
        <v>0.15218478791494902</v>
      </c>
      <c r="BU185" s="474">
        <f t="shared" si="265"/>
        <v>183.46744330535475</v>
      </c>
      <c r="BV185" s="181">
        <f t="shared" si="266"/>
        <v>0.50816858100382367</v>
      </c>
      <c r="BW185" s="6">
        <f t="shared" si="267"/>
        <v>3.7112703957010256</v>
      </c>
      <c r="BX185" s="181">
        <f t="shared" si="268"/>
        <v>0.87956489386163017</v>
      </c>
      <c r="BY185" s="6">
        <f t="shared" si="269"/>
        <v>87.956489386163014</v>
      </c>
      <c r="BZ185">
        <f t="shared" si="270"/>
        <v>75</v>
      </c>
      <c r="CB185" s="583">
        <f t="shared" si="302"/>
        <v>-50</v>
      </c>
      <c r="CC185">
        <f t="shared" si="303"/>
        <v>-50</v>
      </c>
    </row>
    <row r="186" spans="5:81" x14ac:dyDescent="0.2">
      <c r="E186" s="178">
        <v>76</v>
      </c>
      <c r="F186" s="225">
        <f t="shared" si="304"/>
        <v>0.22799999999999998</v>
      </c>
      <c r="G186" s="225">
        <f t="shared" si="271"/>
        <v>0.22799999999999998</v>
      </c>
      <c r="H186" s="225">
        <f t="shared" si="272"/>
        <v>3.42</v>
      </c>
      <c r="I186" s="225">
        <f t="shared" si="273"/>
        <v>1.8239999999999998</v>
      </c>
      <c r="J186" s="561">
        <f t="shared" si="274"/>
        <v>7</v>
      </c>
      <c r="K186" s="456">
        <f t="shared" si="275"/>
        <v>9.2046158691795448</v>
      </c>
      <c r="L186" s="456">
        <f t="shared" si="276"/>
        <v>22.25</v>
      </c>
      <c r="M186" s="456"/>
      <c r="N186" s="225">
        <f t="shared" si="277"/>
        <v>0.6853932584269663</v>
      </c>
      <c r="O186" s="180">
        <f t="shared" si="278"/>
        <v>2.0416524181729359</v>
      </c>
      <c r="P186" s="180">
        <f t="shared" si="279"/>
        <v>1.6696179775280899</v>
      </c>
      <c r="Q186" s="225">
        <f t="shared" si="280"/>
        <v>0.13611016121152905</v>
      </c>
      <c r="R186" s="225">
        <f t="shared" si="281"/>
        <v>0.25520655227161698</v>
      </c>
      <c r="S186" s="225">
        <f t="shared" si="282"/>
        <v>8.9546158691795448</v>
      </c>
      <c r="T186" s="225">
        <f t="shared" si="283"/>
        <v>1.45</v>
      </c>
      <c r="U186" s="225">
        <f t="shared" si="284"/>
        <v>8.2857142857142847</v>
      </c>
      <c r="V186" s="225">
        <f t="shared" si="285"/>
        <v>6.3011863639204577</v>
      </c>
      <c r="W186" s="205">
        <f t="shared" si="286"/>
        <v>342.77329503339018</v>
      </c>
      <c r="X186" s="456">
        <f t="shared" si="287"/>
        <v>68.554659006678023</v>
      </c>
      <c r="Z186" s="225">
        <f t="shared" si="288"/>
        <v>0.28999999999999992</v>
      </c>
      <c r="AA186" s="181">
        <f t="shared" si="289"/>
        <v>1.2602372727840914</v>
      </c>
      <c r="AB186" s="181">
        <f t="shared" si="290"/>
        <v>4.0849874324891705E-2</v>
      </c>
      <c r="AC186" s="181"/>
      <c r="AD186" s="181">
        <f t="shared" si="291"/>
        <v>1.2602372727840918</v>
      </c>
      <c r="AE186" s="565">
        <f t="shared" si="292"/>
        <v>1247.7124959411033</v>
      </c>
      <c r="AF186" s="548">
        <f t="shared" si="293"/>
        <v>6.2636473964833989E-2</v>
      </c>
      <c r="AH186" s="181">
        <f t="shared" si="294"/>
        <v>0.86553039065237736</v>
      </c>
      <c r="AI186" s="181">
        <f t="shared" si="295"/>
        <v>1.45</v>
      </c>
      <c r="AJ186" s="181">
        <f t="shared" si="296"/>
        <v>2.0592592592592593</v>
      </c>
      <c r="AL186" s="565">
        <f t="shared" si="297"/>
        <v>227.99999999999997</v>
      </c>
      <c r="AM186" s="474">
        <f t="shared" si="298"/>
        <v>68.554659006678023</v>
      </c>
      <c r="AO186" t="str">
        <f t="shared" si="299"/>
        <v/>
      </c>
      <c r="AP186" t="str">
        <f t="shared" si="300"/>
        <v/>
      </c>
      <c r="AR186" s="6">
        <f t="shared" si="225"/>
        <v>14.586900649634744</v>
      </c>
      <c r="AS186" s="6">
        <f t="shared" si="305"/>
        <v>8.2857142857142847</v>
      </c>
      <c r="AT186" s="6">
        <f t="shared" si="306"/>
        <v>6.3011863639204595</v>
      </c>
      <c r="AU186" s="181">
        <f t="shared" si="307"/>
        <v>0.56802431748390358</v>
      </c>
      <c r="AW186" s="6">
        <f t="shared" si="246"/>
        <v>12.594285714285713</v>
      </c>
      <c r="AX186" s="6">
        <f t="shared" si="247"/>
        <v>23.61428571428571</v>
      </c>
      <c r="AY186" s="6">
        <f t="shared" si="248"/>
        <v>5.701073376880414</v>
      </c>
      <c r="AZ186" s="6"/>
      <c r="BA186" s="181">
        <f t="shared" si="249"/>
        <v>0.63094403542361488</v>
      </c>
      <c r="BB186" s="181">
        <f t="shared" si="250"/>
        <v>0.55022082612047463</v>
      </c>
      <c r="BC186" s="181">
        <f t="shared" si="251"/>
        <v>0.54243992554907394</v>
      </c>
      <c r="BD186" s="181"/>
      <c r="BE186" s="548">
        <f t="shared" si="252"/>
        <v>0.13933163154282252</v>
      </c>
      <c r="BF186" s="548">
        <f t="shared" si="253"/>
        <v>2.2117446862029495E-2</v>
      </c>
      <c r="BG186" s="548">
        <f t="shared" si="254"/>
        <v>8.5693323758347518E-4</v>
      </c>
      <c r="BH186" s="548">
        <f t="shared" si="255"/>
        <v>1.9514833502833784E-3</v>
      </c>
      <c r="BI186">
        <f t="shared" si="256"/>
        <v>2.0300000000000001E-3</v>
      </c>
      <c r="BJ186" s="474">
        <f t="shared" si="257"/>
        <v>166.28749499271888</v>
      </c>
      <c r="BK186" s="181">
        <f t="shared" si="258"/>
        <v>7.9799999999999982E-2</v>
      </c>
      <c r="BL186" s="181">
        <f t="shared" si="259"/>
        <v>7.9799999999999982E-2</v>
      </c>
      <c r="BM186" s="548"/>
      <c r="BO186" s="474">
        <f t="shared" si="260"/>
        <v>159.59999999999997</v>
      </c>
      <c r="BP186" s="548">
        <f t="shared" si="261"/>
        <v>0</v>
      </c>
      <c r="BQ186" s="548">
        <f t="shared" si="262"/>
        <v>0</v>
      </c>
      <c r="BR186" s="548">
        <f t="shared" si="263"/>
        <v>2.6481696554671637E-2</v>
      </c>
      <c r="BS186" s="548">
        <f t="shared" si="264"/>
        <v>4.9258643438176595E-3</v>
      </c>
      <c r="BT186" s="658">
        <f t="shared" si="301"/>
        <v>0.15134297908961761</v>
      </c>
      <c r="BU186" s="474">
        <f t="shared" si="265"/>
        <v>182.75053998810691</v>
      </c>
      <c r="BV186" s="181">
        <f t="shared" si="266"/>
        <v>0.50863803498082572</v>
      </c>
      <c r="BW186" s="6">
        <f t="shared" si="267"/>
        <v>3.7112703957010256</v>
      </c>
      <c r="BX186" s="181">
        <f t="shared" si="268"/>
        <v>0.87946704452574098</v>
      </c>
      <c r="BY186" s="6">
        <f t="shared" si="269"/>
        <v>87.946704452574096</v>
      </c>
      <c r="BZ186">
        <f t="shared" si="270"/>
        <v>76</v>
      </c>
      <c r="CB186" s="583">
        <f t="shared" si="302"/>
        <v>-50</v>
      </c>
      <c r="CC186">
        <f t="shared" si="303"/>
        <v>-50</v>
      </c>
    </row>
    <row r="187" spans="5:81" x14ac:dyDescent="0.2">
      <c r="E187" s="178">
        <v>77</v>
      </c>
      <c r="F187" s="225">
        <f t="shared" si="304"/>
        <v>0.23099999999999998</v>
      </c>
      <c r="G187" s="225">
        <f t="shared" si="271"/>
        <v>0.23099999999999998</v>
      </c>
      <c r="H187" s="225">
        <f t="shared" si="272"/>
        <v>3.4649999999999999</v>
      </c>
      <c r="I187" s="225">
        <f t="shared" si="273"/>
        <v>1.8479999999999999</v>
      </c>
      <c r="J187" s="561">
        <f t="shared" si="274"/>
        <v>7</v>
      </c>
      <c r="K187" s="456">
        <f t="shared" si="275"/>
        <v>9.0883221565927972</v>
      </c>
      <c r="L187" s="456">
        <f t="shared" si="276"/>
        <v>22.25</v>
      </c>
      <c r="M187" s="456"/>
      <c r="N187" s="225">
        <f t="shared" si="277"/>
        <v>0.6853932584269663</v>
      </c>
      <c r="O187" s="180">
        <f t="shared" si="278"/>
        <v>2.0416524181729359</v>
      </c>
      <c r="P187" s="180">
        <f t="shared" si="279"/>
        <v>1.6696179775280899</v>
      </c>
      <c r="Q187" s="225">
        <f t="shared" si="280"/>
        <v>0.13611016121152905</v>
      </c>
      <c r="R187" s="225">
        <f t="shared" si="281"/>
        <v>0.25520655227161698</v>
      </c>
      <c r="S187" s="225">
        <f t="shared" si="282"/>
        <v>8.8383221565927972</v>
      </c>
      <c r="T187" s="225">
        <f t="shared" si="283"/>
        <v>1.45</v>
      </c>
      <c r="U187" s="225">
        <f t="shared" si="284"/>
        <v>8.2857142857142847</v>
      </c>
      <c r="V187" s="225">
        <f t="shared" si="285"/>
        <v>6.381816027276936</v>
      </c>
      <c r="W187" s="205">
        <f t="shared" si="286"/>
        <v>340.88901766723711</v>
      </c>
      <c r="X187" s="456">
        <f t="shared" si="287"/>
        <v>68.177803533447417</v>
      </c>
      <c r="Z187" s="225">
        <f t="shared" si="288"/>
        <v>0.29000000000000004</v>
      </c>
      <c r="AA187" s="181">
        <f t="shared" si="289"/>
        <v>1.2763632054553873</v>
      </c>
      <c r="AB187" s="181">
        <f t="shared" si="290"/>
        <v>4.1145155802829882E-2</v>
      </c>
      <c r="AC187" s="181"/>
      <c r="AD187" s="181">
        <f t="shared" si="291"/>
        <v>1.2763632054553873</v>
      </c>
      <c r="AE187" s="565">
        <f t="shared" si="292"/>
        <v>1248.1583936818881</v>
      </c>
      <c r="AF187" s="548">
        <f t="shared" si="293"/>
        <v>6.308923889767247E-2</v>
      </c>
      <c r="AH187" s="181">
        <f t="shared" si="294"/>
        <v>0.87120606058498007</v>
      </c>
      <c r="AI187" s="181">
        <f t="shared" si="295"/>
        <v>1.45</v>
      </c>
      <c r="AJ187" s="181">
        <f t="shared" si="296"/>
        <v>2.0592592592592593</v>
      </c>
      <c r="AL187" s="565">
        <f t="shared" si="297"/>
        <v>230.99999999999997</v>
      </c>
      <c r="AM187" s="474">
        <f t="shared" si="298"/>
        <v>68.177803533447417</v>
      </c>
      <c r="AO187" t="str">
        <f t="shared" si="299"/>
        <v/>
      </c>
      <c r="AP187" t="str">
        <f t="shared" si="300"/>
        <v/>
      </c>
      <c r="AR187" s="6">
        <f t="shared" si="225"/>
        <v>14.667530312991222</v>
      </c>
      <c r="AS187" s="6">
        <f t="shared" si="305"/>
        <v>8.2857142857142847</v>
      </c>
      <c r="AT187" s="6">
        <f t="shared" si="306"/>
        <v>6.3818160272769369</v>
      </c>
      <c r="AU187" s="181">
        <f t="shared" si="307"/>
        <v>0.56490180070570706</v>
      </c>
      <c r="AW187" s="6">
        <f t="shared" si="246"/>
        <v>12.759999999999998</v>
      </c>
      <c r="AX187" s="6">
        <f t="shared" si="247"/>
        <v>23.924999999999994</v>
      </c>
      <c r="AY187" s="6">
        <f t="shared" si="248"/>
        <v>5.849998025003857</v>
      </c>
      <c r="AZ187" s="6"/>
      <c r="BA187" s="181">
        <f t="shared" si="249"/>
        <v>0.62920744750406676</v>
      </c>
      <c r="BB187" s="181">
        <f t="shared" si="250"/>
        <v>0.55220586862034549</v>
      </c>
      <c r="BC187" s="181">
        <f t="shared" si="251"/>
        <v>0.54439689674086578</v>
      </c>
      <c r="BD187" s="181"/>
      <c r="BE187" s="548">
        <f t="shared" si="252"/>
        <v>0.13856570419810402</v>
      </c>
      <c r="BF187" s="548">
        <f t="shared" si="253"/>
        <v>2.1995863864978468E-2</v>
      </c>
      <c r="BG187" s="548">
        <f t="shared" si="254"/>
        <v>8.5222254416809267E-4</v>
      </c>
      <c r="BH187" s="548">
        <f t="shared" si="255"/>
        <v>1.9407557470521952E-3</v>
      </c>
      <c r="BI187">
        <f t="shared" si="256"/>
        <v>2.0300000000000001E-3</v>
      </c>
      <c r="BJ187" s="474">
        <f t="shared" si="257"/>
        <v>165.38454635430276</v>
      </c>
      <c r="BK187" s="181">
        <f t="shared" si="258"/>
        <v>8.0849999999999991E-2</v>
      </c>
      <c r="BL187" s="181">
        <f t="shared" si="259"/>
        <v>8.0849999999999991E-2</v>
      </c>
      <c r="BM187" s="548"/>
      <c r="BO187" s="474">
        <f t="shared" si="260"/>
        <v>161.69999999999999</v>
      </c>
      <c r="BP187" s="548">
        <f t="shared" si="261"/>
        <v>0</v>
      </c>
      <c r="BQ187" s="548">
        <f t="shared" si="262"/>
        <v>0</v>
      </c>
      <c r="BR187" s="548">
        <f t="shared" si="263"/>
        <v>2.6673118306297639E-2</v>
      </c>
      <c r="BS187" s="548">
        <f t="shared" si="264"/>
        <v>4.8584476085026173E-3</v>
      </c>
      <c r="BT187" s="658">
        <f t="shared" si="301"/>
        <v>0.15051102352552689</v>
      </c>
      <c r="BU187" s="474">
        <f t="shared" si="265"/>
        <v>182.04258944032713</v>
      </c>
      <c r="BV187" s="181">
        <f t="shared" si="266"/>
        <v>0.50912713579462987</v>
      </c>
      <c r="BW187" s="6">
        <f t="shared" si="267"/>
        <v>3.7112703957010256</v>
      </c>
      <c r="BX187" s="181">
        <f t="shared" si="268"/>
        <v>0.87936512331003047</v>
      </c>
      <c r="BY187" s="6">
        <f t="shared" si="269"/>
        <v>87.936512331003044</v>
      </c>
      <c r="BZ187">
        <f t="shared" si="270"/>
        <v>77</v>
      </c>
      <c r="CB187" s="583">
        <f t="shared" si="302"/>
        <v>-50</v>
      </c>
      <c r="CC187">
        <f t="shared" si="303"/>
        <v>-50</v>
      </c>
    </row>
    <row r="188" spans="5:81" x14ac:dyDescent="0.2">
      <c r="E188" s="178">
        <v>78</v>
      </c>
      <c r="F188" s="225">
        <f t="shared" si="304"/>
        <v>0.23399999999999999</v>
      </c>
      <c r="G188" s="225">
        <f t="shared" si="271"/>
        <v>0.23399999999999999</v>
      </c>
      <c r="H188" s="225">
        <f t="shared" si="272"/>
        <v>3.51</v>
      </c>
      <c r="I188" s="225">
        <f t="shared" si="273"/>
        <v>1.8719999999999999</v>
      </c>
      <c r="J188" s="561">
        <f t="shared" si="274"/>
        <v>7</v>
      </c>
      <c r="K188" s="456">
        <f t="shared" si="275"/>
        <v>8.9750103340723761</v>
      </c>
      <c r="L188" s="456">
        <f t="shared" si="276"/>
        <v>22.25</v>
      </c>
      <c r="M188" s="456"/>
      <c r="N188" s="225">
        <f t="shared" si="277"/>
        <v>0.6853932584269663</v>
      </c>
      <c r="O188" s="180">
        <f t="shared" si="278"/>
        <v>2.0416524181729359</v>
      </c>
      <c r="P188" s="180">
        <f t="shared" si="279"/>
        <v>1.6696179775280899</v>
      </c>
      <c r="Q188" s="225">
        <f t="shared" si="280"/>
        <v>0.13611016121152905</v>
      </c>
      <c r="R188" s="225">
        <f t="shared" si="281"/>
        <v>0.25520655227161698</v>
      </c>
      <c r="S188" s="225">
        <f t="shared" si="282"/>
        <v>8.7250103340723761</v>
      </c>
      <c r="T188" s="225">
        <f t="shared" si="283"/>
        <v>1.45</v>
      </c>
      <c r="U188" s="225">
        <f t="shared" si="284"/>
        <v>8.2857142857142847</v>
      </c>
      <c r="V188" s="225">
        <f t="shared" si="285"/>
        <v>6.4623881021965044</v>
      </c>
      <c r="W188" s="205">
        <f t="shared" si="286"/>
        <v>339.02666719337157</v>
      </c>
      <c r="X188" s="456">
        <f t="shared" si="287"/>
        <v>67.80533343867431</v>
      </c>
      <c r="Z188" s="225">
        <f t="shared" si="288"/>
        <v>0.28999999999999998</v>
      </c>
      <c r="AA188" s="181">
        <f t="shared" si="289"/>
        <v>1.2924776204393009</v>
      </c>
      <c r="AB188" s="181">
        <f t="shared" si="290"/>
        <v>4.1437001159697111E-2</v>
      </c>
      <c r="AC188" s="181"/>
      <c r="AD188" s="181">
        <f t="shared" si="291"/>
        <v>1.2924776204393009</v>
      </c>
      <c r="AE188" s="565">
        <f t="shared" si="292"/>
        <v>1248.604291422673</v>
      </c>
      <c r="AF188" s="548">
        <f t="shared" si="293"/>
        <v>6.3536735111535583E-2</v>
      </c>
      <c r="AH188" s="181">
        <f t="shared" si="294"/>
        <v>0.87684499363179502</v>
      </c>
      <c r="AI188" s="181">
        <f t="shared" si="295"/>
        <v>1.45</v>
      </c>
      <c r="AJ188" s="181">
        <f t="shared" si="296"/>
        <v>2.0592592592592593</v>
      </c>
      <c r="AL188" s="565">
        <f t="shared" si="297"/>
        <v>234</v>
      </c>
      <c r="AM188" s="474">
        <f t="shared" si="298"/>
        <v>67.80533343867431</v>
      </c>
      <c r="AO188" t="str">
        <f t="shared" si="299"/>
        <v/>
      </c>
      <c r="AP188" t="str">
        <f t="shared" si="300"/>
        <v/>
      </c>
      <c r="AR188" s="6">
        <f t="shared" si="225"/>
        <v>14.748102387910791</v>
      </c>
      <c r="AS188" s="6">
        <f t="shared" si="305"/>
        <v>8.2857142857142847</v>
      </c>
      <c r="AT188" s="6">
        <f t="shared" si="306"/>
        <v>6.4623881021965062</v>
      </c>
      <c r="AU188" s="181">
        <f t="shared" si="307"/>
        <v>0.56181561992044426</v>
      </c>
      <c r="AW188" s="6">
        <f t="shared" si="246"/>
        <v>12.925714285714283</v>
      </c>
      <c r="AX188" s="6">
        <f t="shared" si="247"/>
        <v>24.235714285714284</v>
      </c>
      <c r="AY188" s="6">
        <f t="shared" si="248"/>
        <v>6.0007889520396116</v>
      </c>
      <c r="AZ188" s="6"/>
      <c r="BA188" s="181">
        <f t="shared" si="249"/>
        <v>0.62748634537141756</v>
      </c>
      <c r="BB188" s="181">
        <f t="shared" si="250"/>
        <v>0.55416082476638073</v>
      </c>
      <c r="BC188" s="181">
        <f t="shared" si="251"/>
        <v>0.54632420704241169</v>
      </c>
      <c r="BD188" s="181"/>
      <c r="BE188" s="548">
        <f t="shared" si="252"/>
        <v>0.13780868976965227</v>
      </c>
      <c r="BF188" s="548">
        <f t="shared" si="253"/>
        <v>2.1875695700652297E-2</v>
      </c>
      <c r="BG188" s="548">
        <f t="shared" si="254"/>
        <v>8.4756666798342878E-4</v>
      </c>
      <c r="BH188" s="548">
        <f t="shared" si="255"/>
        <v>1.9301529784153126E-3</v>
      </c>
      <c r="BI188">
        <f t="shared" si="256"/>
        <v>2.0300000000000001E-3</v>
      </c>
      <c r="BJ188" s="474">
        <f t="shared" si="257"/>
        <v>164.4921051167033</v>
      </c>
      <c r="BK188" s="181">
        <f t="shared" si="258"/>
        <v>8.1899999999999987E-2</v>
      </c>
      <c r="BL188" s="181">
        <f t="shared" si="259"/>
        <v>8.1899999999999987E-2</v>
      </c>
      <c r="BM188" s="548"/>
      <c r="BO188" s="474">
        <f t="shared" si="260"/>
        <v>163.79999999999998</v>
      </c>
      <c r="BP188" s="548">
        <f t="shared" si="261"/>
        <v>0</v>
      </c>
      <c r="BQ188" s="548">
        <f t="shared" si="262"/>
        <v>0</v>
      </c>
      <c r="BR188" s="548">
        <f t="shared" si="263"/>
        <v>2.686231252804679E-2</v>
      </c>
      <c r="BS188" s="548">
        <f t="shared" si="264"/>
        <v>4.7923623755460202E-3</v>
      </c>
      <c r="BT188" s="658">
        <f t="shared" si="301"/>
        <v>0.1496887492325534</v>
      </c>
      <c r="BU188" s="474">
        <f t="shared" si="265"/>
        <v>181.34342413614621</v>
      </c>
      <c r="BV188" s="181">
        <f t="shared" si="266"/>
        <v>0.5096355292528495</v>
      </c>
      <c r="BW188" s="6">
        <f t="shared" si="267"/>
        <v>3.7112703957010256</v>
      </c>
      <c r="BX188" s="181">
        <f t="shared" si="268"/>
        <v>0.87925920683522008</v>
      </c>
      <c r="BY188" s="6">
        <f t="shared" si="269"/>
        <v>87.925920683522008</v>
      </c>
      <c r="BZ188">
        <f t="shared" si="270"/>
        <v>78</v>
      </c>
      <c r="CB188" s="583">
        <f t="shared" si="302"/>
        <v>-50</v>
      </c>
      <c r="CC188">
        <f t="shared" si="303"/>
        <v>-50</v>
      </c>
    </row>
    <row r="189" spans="5:81" x14ac:dyDescent="0.2">
      <c r="E189" s="178">
        <v>79</v>
      </c>
      <c r="F189" s="225">
        <f t="shared" si="304"/>
        <v>0.23699999999999999</v>
      </c>
      <c r="G189" s="225">
        <f t="shared" si="271"/>
        <v>0.23699999999999999</v>
      </c>
      <c r="H189" s="225">
        <f t="shared" si="272"/>
        <v>3.5549999999999997</v>
      </c>
      <c r="I189" s="225">
        <f t="shared" si="273"/>
        <v>1.8959999999999999</v>
      </c>
      <c r="J189" s="561">
        <f t="shared" si="274"/>
        <v>7</v>
      </c>
      <c r="K189" s="456">
        <f t="shared" si="275"/>
        <v>8.8645671652866493</v>
      </c>
      <c r="L189" s="456">
        <f t="shared" si="276"/>
        <v>22.25</v>
      </c>
      <c r="M189" s="456"/>
      <c r="N189" s="225">
        <f t="shared" si="277"/>
        <v>0.6853932584269663</v>
      </c>
      <c r="O189" s="180">
        <f t="shared" si="278"/>
        <v>2.0416524181729359</v>
      </c>
      <c r="P189" s="180">
        <f t="shared" si="279"/>
        <v>1.6696179775280899</v>
      </c>
      <c r="Q189" s="225">
        <f t="shared" si="280"/>
        <v>0.13611016121152905</v>
      </c>
      <c r="R189" s="225">
        <f t="shared" si="281"/>
        <v>0.25520655227161698</v>
      </c>
      <c r="S189" s="225">
        <f t="shared" si="282"/>
        <v>8.6145671652866493</v>
      </c>
      <c r="T189" s="225">
        <f t="shared" si="283"/>
        <v>1.45</v>
      </c>
      <c r="U189" s="225">
        <f t="shared" si="284"/>
        <v>8.2857142857142847</v>
      </c>
      <c r="V189" s="225">
        <f t="shared" si="285"/>
        <v>6.5429026503545566</v>
      </c>
      <c r="W189" s="205">
        <f t="shared" si="286"/>
        <v>337.18586308869419</v>
      </c>
      <c r="X189" s="456">
        <f t="shared" si="287"/>
        <v>67.437172617738838</v>
      </c>
      <c r="Z189" s="225">
        <f t="shared" si="288"/>
        <v>0.29000000000000004</v>
      </c>
      <c r="AA189" s="181">
        <f t="shared" si="289"/>
        <v>1.3085805300709117</v>
      </c>
      <c r="AB189" s="181">
        <f t="shared" si="290"/>
        <v>4.1725470026535719E-2</v>
      </c>
      <c r="AC189" s="181"/>
      <c r="AD189" s="181">
        <f t="shared" si="291"/>
        <v>1.3085805300709115</v>
      </c>
      <c r="AE189" s="565">
        <f t="shared" si="292"/>
        <v>1249.0501891634578</v>
      </c>
      <c r="AF189" s="548">
        <f t="shared" si="293"/>
        <v>6.3979054040688071E-2</v>
      </c>
      <c r="AH189" s="181">
        <f t="shared" si="294"/>
        <v>0.88244789405056978</v>
      </c>
      <c r="AI189" s="181">
        <f t="shared" si="295"/>
        <v>1.45</v>
      </c>
      <c r="AJ189" s="181">
        <f t="shared" si="296"/>
        <v>2.0592592592592593</v>
      </c>
      <c r="AL189" s="565">
        <f t="shared" si="297"/>
        <v>237</v>
      </c>
      <c r="AM189" s="474">
        <f t="shared" si="298"/>
        <v>67.437172617738838</v>
      </c>
      <c r="AO189" t="str">
        <f t="shared" si="299"/>
        <v/>
      </c>
      <c r="AP189" t="str">
        <f t="shared" si="300"/>
        <v/>
      </c>
      <c r="AR189" s="6">
        <f t="shared" si="225"/>
        <v>14.82861693606884</v>
      </c>
      <c r="AS189" s="6">
        <f t="shared" si="305"/>
        <v>8.2857142857142847</v>
      </c>
      <c r="AT189" s="6">
        <f t="shared" si="306"/>
        <v>6.5429026503545558</v>
      </c>
      <c r="AU189" s="181">
        <f t="shared" si="307"/>
        <v>0.5587651445469789</v>
      </c>
      <c r="AW189" s="6">
        <f t="shared" si="246"/>
        <v>13.091428571428569</v>
      </c>
      <c r="AX189" s="6">
        <f t="shared" si="247"/>
        <v>24.546428571428567</v>
      </c>
      <c r="AY189" s="6">
        <f t="shared" si="248"/>
        <v>6.1534441592620217</v>
      </c>
      <c r="AZ189" s="6"/>
      <c r="BA189" s="181">
        <f t="shared" si="249"/>
        <v>0.62578050369385996</v>
      </c>
      <c r="BB189" s="181">
        <f t="shared" si="250"/>
        <v>0.55608640922970975</v>
      </c>
      <c r="BC189" s="181">
        <f t="shared" si="251"/>
        <v>0.54822256101838063</v>
      </c>
      <c r="BD189" s="181"/>
      <c r="BE189" s="548">
        <f t="shared" si="252"/>
        <v>0.13706043358116937</v>
      </c>
      <c r="BF189" s="548">
        <f t="shared" si="253"/>
        <v>2.1756917815797985E-2</v>
      </c>
      <c r="BG189" s="548">
        <f t="shared" si="254"/>
        <v>8.4296465772173545E-4</v>
      </c>
      <c r="BH189" s="548">
        <f t="shared" si="255"/>
        <v>1.9196728779714864E-3</v>
      </c>
      <c r="BI189">
        <f t="shared" si="256"/>
        <v>2.0300000000000001E-3</v>
      </c>
      <c r="BJ189" s="474">
        <f t="shared" si="257"/>
        <v>163.60998893266057</v>
      </c>
      <c r="BK189" s="181">
        <f t="shared" si="258"/>
        <v>8.2949999999999996E-2</v>
      </c>
      <c r="BL189" s="181">
        <f t="shared" si="259"/>
        <v>8.2949999999999996E-2</v>
      </c>
      <c r="BM189" s="548"/>
      <c r="BO189" s="474">
        <f t="shared" si="260"/>
        <v>165.9</v>
      </c>
      <c r="BP189" s="548">
        <f t="shared" si="261"/>
        <v>0</v>
      </c>
      <c r="BQ189" s="548">
        <f t="shared" si="262"/>
        <v>0</v>
      </c>
      <c r="BR189" s="548">
        <f t="shared" si="263"/>
        <v>2.7049317876859685E-2</v>
      </c>
      <c r="BS189" s="548">
        <f t="shared" si="264"/>
        <v>4.7275746383808942E-3</v>
      </c>
      <c r="BT189" s="658">
        <f t="shared" si="301"/>
        <v>0.14887598820023573</v>
      </c>
      <c r="BU189" s="474">
        <f t="shared" si="265"/>
        <v>180.6528807154763</v>
      </c>
      <c r="BV189" s="181">
        <f t="shared" si="266"/>
        <v>0.51016286964813695</v>
      </c>
      <c r="BW189" s="6">
        <f t="shared" si="267"/>
        <v>3.7112703957010256</v>
      </c>
      <c r="BX189" s="181">
        <f t="shared" si="268"/>
        <v>0.8791493699934303</v>
      </c>
      <c r="BY189" s="6">
        <f t="shared" si="269"/>
        <v>87.914936999343027</v>
      </c>
      <c r="BZ189">
        <f t="shared" si="270"/>
        <v>79</v>
      </c>
      <c r="CB189" s="583">
        <f t="shared" si="302"/>
        <v>-50</v>
      </c>
      <c r="CC189">
        <f t="shared" si="303"/>
        <v>-50</v>
      </c>
    </row>
    <row r="190" spans="5:81" x14ac:dyDescent="0.2">
      <c r="E190" s="178">
        <v>80</v>
      </c>
      <c r="F190" s="225">
        <f t="shared" si="304"/>
        <v>0.24</v>
      </c>
      <c r="G190" s="225">
        <f t="shared" si="271"/>
        <v>0.24</v>
      </c>
      <c r="H190" s="225">
        <f t="shared" si="272"/>
        <v>3.5999999999999996</v>
      </c>
      <c r="I190" s="225">
        <f t="shared" si="273"/>
        <v>1.92</v>
      </c>
      <c r="J190" s="561">
        <f t="shared" si="274"/>
        <v>7</v>
      </c>
      <c r="K190" s="456">
        <f t="shared" si="275"/>
        <v>8.7568850757205663</v>
      </c>
      <c r="L190" s="456">
        <f t="shared" si="276"/>
        <v>22.25</v>
      </c>
      <c r="M190" s="456"/>
      <c r="N190" s="225">
        <f t="shared" si="277"/>
        <v>0.6853932584269663</v>
      </c>
      <c r="O190" s="180">
        <f t="shared" si="278"/>
        <v>2.0416524181729359</v>
      </c>
      <c r="P190" s="180">
        <f t="shared" si="279"/>
        <v>1.6696179775280899</v>
      </c>
      <c r="Q190" s="225">
        <f t="shared" si="280"/>
        <v>0.13611016121152905</v>
      </c>
      <c r="R190" s="225">
        <f t="shared" si="281"/>
        <v>0.25520655227161698</v>
      </c>
      <c r="S190" s="225">
        <f t="shared" si="282"/>
        <v>8.5068850757205663</v>
      </c>
      <c r="T190" s="225">
        <f t="shared" si="283"/>
        <v>1.45</v>
      </c>
      <c r="U190" s="225">
        <f t="shared" si="284"/>
        <v>8.2857142857142847</v>
      </c>
      <c r="V190" s="225">
        <f t="shared" si="285"/>
        <v>6.6233597333384475</v>
      </c>
      <c r="W190" s="205">
        <f t="shared" si="286"/>
        <v>335.36623358434986</v>
      </c>
      <c r="X190" s="456">
        <f t="shared" si="287"/>
        <v>67.073246716869974</v>
      </c>
      <c r="Z190" s="225">
        <f t="shared" si="288"/>
        <v>0.28999999999999998</v>
      </c>
      <c r="AA190" s="181">
        <f t="shared" si="289"/>
        <v>1.3246719466676895</v>
      </c>
      <c r="AB190" s="181">
        <f t="shared" si="290"/>
        <v>4.2010620662527046E-2</v>
      </c>
      <c r="AC190" s="181"/>
      <c r="AD190" s="181">
        <f t="shared" si="291"/>
        <v>1.3246719466676895</v>
      </c>
      <c r="AE190" s="565">
        <f t="shared" si="292"/>
        <v>1249.4960869042427</v>
      </c>
      <c r="AF190" s="548">
        <f t="shared" si="293"/>
        <v>6.4416285015874805E-2</v>
      </c>
      <c r="AH190" s="181">
        <f t="shared" si="294"/>
        <v>0.88801544388114573</v>
      </c>
      <c r="AI190" s="181">
        <f t="shared" si="295"/>
        <v>1.45</v>
      </c>
      <c r="AJ190" s="181">
        <f t="shared" si="296"/>
        <v>2.0592592592592593</v>
      </c>
      <c r="AL190" s="565">
        <f t="shared" si="297"/>
        <v>240</v>
      </c>
      <c r="AM190" s="474">
        <f t="shared" si="298"/>
        <v>67.073246716869974</v>
      </c>
      <c r="AO190" t="str">
        <f t="shared" si="299"/>
        <v/>
      </c>
      <c r="AP190" t="str">
        <f t="shared" si="300"/>
        <v/>
      </c>
      <c r="AR190" s="6">
        <f t="shared" si="225"/>
        <v>14.909074019052731</v>
      </c>
      <c r="AS190" s="6">
        <f t="shared" si="305"/>
        <v>8.2857142857142847</v>
      </c>
      <c r="AT190" s="6">
        <f t="shared" si="306"/>
        <v>6.6233597333384466</v>
      </c>
      <c r="AU190" s="181">
        <f t="shared" si="307"/>
        <v>0.55574975851120823</v>
      </c>
      <c r="AW190" s="6">
        <f t="shared" si="246"/>
        <v>13.257142857142854</v>
      </c>
      <c r="AX190" s="6">
        <f t="shared" si="247"/>
        <v>24.857142857142851</v>
      </c>
      <c r="AY190" s="6">
        <f t="shared" si="248"/>
        <v>6.3079616507985188</v>
      </c>
      <c r="AZ190" s="6"/>
      <c r="BA190" s="181">
        <f t="shared" si="249"/>
        <v>0.62408970169087474</v>
      </c>
      <c r="BB190" s="181">
        <f t="shared" si="250"/>
        <v>0.55798331299128301</v>
      </c>
      <c r="BC190" s="181">
        <f t="shared" si="251"/>
        <v>0.55009263987827495</v>
      </c>
      <c r="BD190" s="181"/>
      <c r="BE190" s="548">
        <f t="shared" si="252"/>
        <v>0.13632078451481175</v>
      </c>
      <c r="BF190" s="548">
        <f t="shared" si="253"/>
        <v>2.1639506222030171E-2</v>
      </c>
      <c r="BG190" s="548">
        <f t="shared" si="254"/>
        <v>8.3841558396087468E-4</v>
      </c>
      <c r="BH190" s="548">
        <f t="shared" si="255"/>
        <v>1.9093133291593002E-3</v>
      </c>
      <c r="BI190">
        <f t="shared" si="256"/>
        <v>2.0300000000000001E-3</v>
      </c>
      <c r="BJ190" s="474">
        <f t="shared" si="257"/>
        <v>162.7380196499621</v>
      </c>
      <c r="BK190" s="181">
        <f t="shared" si="258"/>
        <v>8.3999999999999991E-2</v>
      </c>
      <c r="BL190" s="181">
        <f t="shared" si="259"/>
        <v>8.3999999999999991E-2</v>
      </c>
      <c r="BM190" s="548"/>
      <c r="BO190" s="474">
        <f t="shared" si="260"/>
        <v>167.99999999999997</v>
      </c>
      <c r="BP190" s="548">
        <f t="shared" si="261"/>
        <v>0</v>
      </c>
      <c r="BQ190" s="548">
        <f t="shared" si="262"/>
        <v>0</v>
      </c>
      <c r="BR190" s="548">
        <f t="shared" si="263"/>
        <v>2.7234172120342452E-2</v>
      </c>
      <c r="BS190" s="548">
        <f t="shared" si="264"/>
        <v>4.664051451481039E-3</v>
      </c>
      <c r="BT190" s="658">
        <f t="shared" si="301"/>
        <v>0.14807257628333009</v>
      </c>
      <c r="BU190" s="474">
        <f t="shared" si="265"/>
        <v>179.97079985515359</v>
      </c>
      <c r="BV190" s="181">
        <f t="shared" si="266"/>
        <v>0.51070881950511571</v>
      </c>
      <c r="BW190" s="6">
        <f t="shared" si="267"/>
        <v>3.7112703957010256</v>
      </c>
      <c r="BX190" s="181">
        <f t="shared" si="268"/>
        <v>0.87903568599634141</v>
      </c>
      <c r="BY190" s="6">
        <f t="shared" si="269"/>
        <v>87.903568599634141</v>
      </c>
      <c r="BZ190">
        <f t="shared" si="270"/>
        <v>80</v>
      </c>
      <c r="CB190" s="583">
        <f t="shared" si="302"/>
        <v>-50</v>
      </c>
      <c r="CC190">
        <f t="shared" si="303"/>
        <v>-50</v>
      </c>
    </row>
    <row r="191" spans="5:81" x14ac:dyDescent="0.2">
      <c r="E191" s="178">
        <v>81</v>
      </c>
      <c r="F191" s="225">
        <f t="shared" si="304"/>
        <v>0.24299999999999999</v>
      </c>
      <c r="G191" s="225">
        <f t="shared" si="271"/>
        <v>0.24299999999999999</v>
      </c>
      <c r="H191" s="225">
        <f t="shared" si="272"/>
        <v>3.645</v>
      </c>
      <c r="I191" s="225">
        <f t="shared" si="273"/>
        <v>1.944</v>
      </c>
      <c r="J191" s="561">
        <f t="shared" si="274"/>
        <v>7</v>
      </c>
      <c r="K191" s="456">
        <f t="shared" si="275"/>
        <v>8.6518618031808057</v>
      </c>
      <c r="L191" s="456">
        <f t="shared" si="276"/>
        <v>22.25</v>
      </c>
      <c r="M191" s="456"/>
      <c r="N191" s="225">
        <f t="shared" si="277"/>
        <v>0.6853932584269663</v>
      </c>
      <c r="O191" s="180">
        <f t="shared" si="278"/>
        <v>2.0416524181729359</v>
      </c>
      <c r="P191" s="180">
        <f t="shared" si="279"/>
        <v>1.6696179775280899</v>
      </c>
      <c r="Q191" s="225">
        <f t="shared" si="280"/>
        <v>0.13611016121152905</v>
      </c>
      <c r="R191" s="225">
        <f t="shared" si="281"/>
        <v>0.25520655227161698</v>
      </c>
      <c r="S191" s="225">
        <f t="shared" si="282"/>
        <v>8.4018618031808057</v>
      </c>
      <c r="T191" s="225">
        <f t="shared" si="283"/>
        <v>1.45</v>
      </c>
      <c r="U191" s="225">
        <f t="shared" si="284"/>
        <v>8.2857142857142847</v>
      </c>
      <c r="V191" s="225">
        <f t="shared" si="285"/>
        <v>6.703759412647651</v>
      </c>
      <c r="W191" s="205">
        <f t="shared" si="286"/>
        <v>333.56741541541942</v>
      </c>
      <c r="X191" s="456">
        <f t="shared" si="287"/>
        <v>66.713483083083887</v>
      </c>
      <c r="Z191" s="225">
        <f t="shared" si="288"/>
        <v>0.28999999999999998</v>
      </c>
      <c r="AA191" s="181">
        <f t="shared" si="289"/>
        <v>1.3407518825295301</v>
      </c>
      <c r="AB191" s="181">
        <f t="shared" si="290"/>
        <v>4.229250999421718E-2</v>
      </c>
      <c r="AC191" s="181"/>
      <c r="AD191" s="181">
        <f t="shared" si="291"/>
        <v>1.3407518825295301</v>
      </c>
      <c r="AE191" s="565">
        <f t="shared" si="292"/>
        <v>1249.9419846450271</v>
      </c>
      <c r="AF191" s="548">
        <f t="shared" si="293"/>
        <v>6.4848515324466338E-2</v>
      </c>
      <c r="AH191" s="181">
        <f t="shared" si="294"/>
        <v>0.89354830391455131</v>
      </c>
      <c r="AI191" s="181">
        <f t="shared" si="295"/>
        <v>1.45</v>
      </c>
      <c r="AJ191" s="181">
        <f t="shared" si="296"/>
        <v>2.0592592592592593</v>
      </c>
      <c r="AL191" s="565">
        <f t="shared" si="297"/>
        <v>243</v>
      </c>
      <c r="AM191" s="474">
        <f t="shared" si="298"/>
        <v>66.713483083083887</v>
      </c>
      <c r="AO191" t="str">
        <f t="shared" si="299"/>
        <v/>
      </c>
      <c r="AP191" t="str">
        <f t="shared" si="300"/>
        <v/>
      </c>
      <c r="AR191" s="6">
        <f t="shared" si="225"/>
        <v>14.989473698361937</v>
      </c>
      <c r="AS191" s="6">
        <f t="shared" si="305"/>
        <v>8.2857142857142847</v>
      </c>
      <c r="AT191" s="6">
        <f t="shared" si="306"/>
        <v>6.7037594126476527</v>
      </c>
      <c r="AU191" s="181">
        <f t="shared" si="307"/>
        <v>0.55276885983126645</v>
      </c>
      <c r="AW191" s="6">
        <f t="shared" si="246"/>
        <v>13.422857142857143</v>
      </c>
      <c r="AX191" s="6">
        <f t="shared" si="247"/>
        <v>25.167857142857141</v>
      </c>
      <c r="AY191" s="6">
        <f t="shared" si="248"/>
        <v>6.464339433624521</v>
      </c>
      <c r="AZ191" s="6"/>
      <c r="BA191" s="181">
        <f t="shared" si="249"/>
        <v>0.62241372301581888</v>
      </c>
      <c r="BB191" s="181">
        <f t="shared" si="250"/>
        <v>0.55985220436729621</v>
      </c>
      <c r="BC191" s="181">
        <f t="shared" si="251"/>
        <v>0.55193510248735456</v>
      </c>
      <c r="BD191" s="181"/>
      <c r="BE191" s="548">
        <f t="shared" si="252"/>
        <v>0.13558959490944436</v>
      </c>
      <c r="BF191" s="548">
        <f t="shared" si="253"/>
        <v>2.1523437479679938E-2</v>
      </c>
      <c r="BG191" s="548">
        <f t="shared" si="254"/>
        <v>8.3391853853854851E-4</v>
      </c>
      <c r="BH191" s="548">
        <f t="shared" si="255"/>
        <v>1.8990722638321049E-3</v>
      </c>
      <c r="BI191">
        <f t="shared" si="256"/>
        <v>2.0300000000000001E-3</v>
      </c>
      <c r="BJ191" s="474">
        <f t="shared" si="257"/>
        <v>161.87602319149494</v>
      </c>
      <c r="BK191" s="181">
        <f t="shared" si="258"/>
        <v>8.5049999999999987E-2</v>
      </c>
      <c r="BL191" s="181">
        <f t="shared" si="259"/>
        <v>8.5049999999999987E-2</v>
      </c>
      <c r="BM191" s="548"/>
      <c r="BO191" s="474">
        <f t="shared" si="260"/>
        <v>170.09999999999997</v>
      </c>
      <c r="BP191" s="548">
        <f t="shared" si="261"/>
        <v>0</v>
      </c>
      <c r="BQ191" s="548">
        <f t="shared" si="262"/>
        <v>0</v>
      </c>
      <c r="BR191" s="548">
        <f t="shared" si="263"/>
        <v>2.7416912162195391E-2</v>
      </c>
      <c r="BS191" s="548">
        <f t="shared" si="264"/>
        <v>4.6017608913476006E-3</v>
      </c>
      <c r="BT191" s="658">
        <f t="shared" si="301"/>
        <v>0.14727835309129308</v>
      </c>
      <c r="BU191" s="474">
        <f t="shared" si="265"/>
        <v>179.29702614483608</v>
      </c>
      <c r="BV191" s="181">
        <f t="shared" si="266"/>
        <v>0.511273049336331</v>
      </c>
      <c r="BW191" s="6">
        <f t="shared" si="267"/>
        <v>3.7112703957010256</v>
      </c>
      <c r="BX191" s="181">
        <f t="shared" si="268"/>
        <v>0.87891822642175144</v>
      </c>
      <c r="BY191" s="6">
        <f t="shared" si="269"/>
        <v>87.891822642175143</v>
      </c>
      <c r="BZ191">
        <f t="shared" si="270"/>
        <v>81</v>
      </c>
      <c r="CB191" s="583">
        <f t="shared" si="302"/>
        <v>-50</v>
      </c>
      <c r="CC191">
        <f t="shared" si="303"/>
        <v>-50</v>
      </c>
    </row>
    <row r="192" spans="5:81" x14ac:dyDescent="0.2">
      <c r="E192" s="178">
        <v>82</v>
      </c>
      <c r="F192" s="225">
        <f t="shared" si="304"/>
        <v>0.24599999999999997</v>
      </c>
      <c r="G192" s="225">
        <f t="shared" si="271"/>
        <v>0.24599999999999997</v>
      </c>
      <c r="H192" s="225">
        <f t="shared" si="272"/>
        <v>3.6899999999999995</v>
      </c>
      <c r="I192" s="225">
        <f t="shared" si="273"/>
        <v>1.9679999999999997</v>
      </c>
      <c r="J192" s="561">
        <f t="shared" si="274"/>
        <v>7</v>
      </c>
      <c r="K192" s="456">
        <f t="shared" si="275"/>
        <v>8.5494000738737235</v>
      </c>
      <c r="L192" s="456">
        <f t="shared" si="276"/>
        <v>22.25</v>
      </c>
      <c r="M192" s="456"/>
      <c r="N192" s="225">
        <f t="shared" si="277"/>
        <v>0.6853932584269663</v>
      </c>
      <c r="O192" s="180">
        <f t="shared" si="278"/>
        <v>2.0416524181729359</v>
      </c>
      <c r="P192" s="180">
        <f t="shared" si="279"/>
        <v>1.6696179775280899</v>
      </c>
      <c r="Q192" s="225">
        <f t="shared" si="280"/>
        <v>0.13611016121152905</v>
      </c>
      <c r="R192" s="225">
        <f t="shared" si="281"/>
        <v>0.25520655227161698</v>
      </c>
      <c r="S192" s="225">
        <f t="shared" si="282"/>
        <v>8.2994000738737235</v>
      </c>
      <c r="T192" s="225">
        <f t="shared" si="283"/>
        <v>1.45</v>
      </c>
      <c r="U192" s="225">
        <f t="shared" si="284"/>
        <v>8.2857142857142847</v>
      </c>
      <c r="V192" s="225">
        <f t="shared" si="285"/>
        <v>6.7841017496939138</v>
      </c>
      <c r="W192" s="205">
        <f t="shared" si="286"/>
        <v>331.78905357915107</v>
      </c>
      <c r="X192" s="456">
        <f t="shared" si="287"/>
        <v>66.357810715830198</v>
      </c>
      <c r="Z192" s="225">
        <f t="shared" si="288"/>
        <v>0.28999999999999992</v>
      </c>
      <c r="AA192" s="181">
        <f t="shared" si="289"/>
        <v>1.3568203499387823</v>
      </c>
      <c r="AB192" s="181">
        <f t="shared" si="290"/>
        <v>4.2571193653403838E-2</v>
      </c>
      <c r="AC192" s="181"/>
      <c r="AD192" s="181">
        <f t="shared" si="291"/>
        <v>1.3568203499387828</v>
      </c>
      <c r="AE192" s="565">
        <f t="shared" si="292"/>
        <v>1250.387882385812</v>
      </c>
      <c r="AF192" s="548">
        <f t="shared" si="293"/>
        <v>6.527583026855259E-2</v>
      </c>
      <c r="AH192" s="181">
        <f t="shared" si="294"/>
        <v>0.89904711460841369</v>
      </c>
      <c r="AI192" s="181">
        <f t="shared" si="295"/>
        <v>1.45</v>
      </c>
      <c r="AJ192" s="181">
        <f t="shared" si="296"/>
        <v>2.0592592592592593</v>
      </c>
      <c r="AL192" s="565">
        <f t="shared" si="297"/>
        <v>245.99999999999997</v>
      </c>
      <c r="AM192" s="474">
        <f t="shared" si="298"/>
        <v>66.357810715830198</v>
      </c>
      <c r="AO192" t="str">
        <f t="shared" si="299"/>
        <v/>
      </c>
      <c r="AP192" t="str">
        <f t="shared" si="300"/>
        <v/>
      </c>
      <c r="AR192" s="6">
        <f t="shared" si="225"/>
        <v>15.0698160354082</v>
      </c>
      <c r="AS192" s="6">
        <f t="shared" si="305"/>
        <v>8.2857142857142847</v>
      </c>
      <c r="AT192" s="6">
        <f t="shared" si="306"/>
        <v>6.7841017496939156</v>
      </c>
      <c r="AU192" s="181">
        <f t="shared" si="307"/>
        <v>0.54982186021687873</v>
      </c>
      <c r="AW192" s="6">
        <f t="shared" si="246"/>
        <v>13.588571428571425</v>
      </c>
      <c r="AX192" s="6">
        <f t="shared" si="247"/>
        <v>25.478571428571424</v>
      </c>
      <c r="AY192" s="6">
        <f t="shared" si="248"/>
        <v>6.6225755175583441</v>
      </c>
      <c r="AZ192" s="6"/>
      <c r="BA192" s="181">
        <f t="shared" si="249"/>
        <v>0.62075235564219089</v>
      </c>
      <c r="BB192" s="181">
        <f t="shared" si="250"/>
        <v>0.56169372997925138</v>
      </c>
      <c r="BC192" s="181">
        <f t="shared" si="251"/>
        <v>0.55375058632297902</v>
      </c>
      <c r="BD192" s="181"/>
      <c r="BE192" s="548">
        <f t="shared" si="252"/>
        <v>0.13486672046236517</v>
      </c>
      <c r="BF192" s="548">
        <f t="shared" si="253"/>
        <v>2.1408688682194716E-2</v>
      </c>
      <c r="BG192" s="548">
        <f t="shared" si="254"/>
        <v>8.2947263394787742E-4</v>
      </c>
      <c r="BH192" s="548">
        <f t="shared" si="255"/>
        <v>1.8889476608815769E-3</v>
      </c>
      <c r="BI192">
        <f t="shared" si="256"/>
        <v>2.0300000000000001E-3</v>
      </c>
      <c r="BJ192" s="474">
        <f t="shared" si="257"/>
        <v>161.02382943938935</v>
      </c>
      <c r="BK192" s="181">
        <f t="shared" si="258"/>
        <v>8.6099999999999982E-2</v>
      </c>
      <c r="BL192" s="181">
        <f t="shared" si="259"/>
        <v>8.6099999999999982E-2</v>
      </c>
      <c r="BM192" s="548"/>
      <c r="BO192" s="474">
        <f t="shared" si="260"/>
        <v>172.19999999999996</v>
      </c>
      <c r="BP192" s="548">
        <f t="shared" si="261"/>
        <v>0</v>
      </c>
      <c r="BQ192" s="548">
        <f t="shared" si="262"/>
        <v>0</v>
      </c>
      <c r="BR192" s="548">
        <f t="shared" si="263"/>
        <v>2.7597574066773874E-2</v>
      </c>
      <c r="BS192" s="548">
        <f t="shared" si="264"/>
        <v>4.5406720191442122E-3</v>
      </c>
      <c r="BT192" s="658">
        <f t="shared" si="301"/>
        <v>0.14649316188153466</v>
      </c>
      <c r="BU192" s="474">
        <f t="shared" si="265"/>
        <v>178.63140796745276</v>
      </c>
      <c r="BV192" s="181">
        <f t="shared" si="266"/>
        <v>0.51185523740684213</v>
      </c>
      <c r="BW192" s="6">
        <f t="shared" si="267"/>
        <v>3.7112703957010256</v>
      </c>
      <c r="BX192" s="181">
        <f t="shared" si="268"/>
        <v>0.87879706125859214</v>
      </c>
      <c r="BY192" s="6">
        <f t="shared" si="269"/>
        <v>87.879706125859215</v>
      </c>
      <c r="BZ192">
        <f t="shared" si="270"/>
        <v>82</v>
      </c>
      <c r="CB192" s="583">
        <f t="shared" si="302"/>
        <v>-50</v>
      </c>
      <c r="CC192">
        <f t="shared" si="303"/>
        <v>-50</v>
      </c>
    </row>
    <row r="193" spans="5:81" x14ac:dyDescent="0.2">
      <c r="E193" s="178">
        <v>83</v>
      </c>
      <c r="F193" s="225">
        <f t="shared" si="304"/>
        <v>0.24899999999999997</v>
      </c>
      <c r="G193" s="225">
        <f t="shared" si="271"/>
        <v>0.24899999999999997</v>
      </c>
      <c r="H193" s="225">
        <f t="shared" si="272"/>
        <v>3.7349999999999994</v>
      </c>
      <c r="I193" s="225">
        <f t="shared" si="273"/>
        <v>1.9919999999999998</v>
      </c>
      <c r="J193" s="561">
        <f t="shared" si="274"/>
        <v>7</v>
      </c>
      <c r="K193" s="456">
        <f t="shared" si="275"/>
        <v>8.4494073018993419</v>
      </c>
      <c r="L193" s="456">
        <f t="shared" si="276"/>
        <v>22.25</v>
      </c>
      <c r="M193" s="456"/>
      <c r="N193" s="225">
        <f t="shared" si="277"/>
        <v>0.6853932584269663</v>
      </c>
      <c r="O193" s="180">
        <f t="shared" si="278"/>
        <v>2.0416524181729359</v>
      </c>
      <c r="P193" s="180">
        <f t="shared" si="279"/>
        <v>1.6696179775280899</v>
      </c>
      <c r="Q193" s="225">
        <f t="shared" si="280"/>
        <v>0.13611016121152905</v>
      </c>
      <c r="R193" s="225">
        <f t="shared" si="281"/>
        <v>0.25520655227161698</v>
      </c>
      <c r="S193" s="225">
        <f t="shared" si="282"/>
        <v>8.1994073018993419</v>
      </c>
      <c r="T193" s="225">
        <f t="shared" si="283"/>
        <v>1.45</v>
      </c>
      <c r="U193" s="225">
        <f t="shared" si="284"/>
        <v>8.2857142857142847</v>
      </c>
      <c r="V193" s="225">
        <f t="shared" si="285"/>
        <v>6.8643868058014181</v>
      </c>
      <c r="W193" s="205">
        <f t="shared" si="286"/>
        <v>330.03080110139194</v>
      </c>
      <c r="X193" s="456">
        <f t="shared" si="287"/>
        <v>66.006160220278389</v>
      </c>
      <c r="Z193" s="225">
        <f t="shared" si="288"/>
        <v>0.28999999999999992</v>
      </c>
      <c r="AA193" s="181">
        <f t="shared" si="289"/>
        <v>1.3728773611602834</v>
      </c>
      <c r="AB193" s="181">
        <f t="shared" si="290"/>
        <v>4.2846726013738387E-2</v>
      </c>
      <c r="AC193" s="181"/>
      <c r="AD193" s="181">
        <f t="shared" si="291"/>
        <v>1.3728773611602836</v>
      </c>
      <c r="AE193" s="565">
        <f t="shared" si="292"/>
        <v>1250.833780126597</v>
      </c>
      <c r="AF193" s="548">
        <f t="shared" si="293"/>
        <v>6.5698313221065535E-2</v>
      </c>
      <c r="AH193" s="181">
        <f t="shared" si="294"/>
        <v>0.90451249695228475</v>
      </c>
      <c r="AI193" s="181">
        <f t="shared" si="295"/>
        <v>1.45</v>
      </c>
      <c r="AJ193" s="181">
        <f t="shared" si="296"/>
        <v>2.0592592592592593</v>
      </c>
      <c r="AL193" s="565">
        <f t="shared" si="297"/>
        <v>248.99999999999997</v>
      </c>
      <c r="AM193" s="474">
        <f t="shared" si="298"/>
        <v>66.006160220278389</v>
      </c>
      <c r="AO193" t="str">
        <f t="shared" si="299"/>
        <v/>
      </c>
      <c r="AP193" t="str">
        <f t="shared" si="300"/>
        <v/>
      </c>
      <c r="AR193" s="6">
        <f t="shared" si="225"/>
        <v>15.150101091515705</v>
      </c>
      <c r="AS193" s="6">
        <f t="shared" si="305"/>
        <v>8.2857142857142847</v>
      </c>
      <c r="AT193" s="6">
        <f t="shared" si="306"/>
        <v>6.8643868058014199</v>
      </c>
      <c r="AU193" s="181">
        <f t="shared" si="307"/>
        <v>0.54690818468230651</v>
      </c>
      <c r="AW193" s="6">
        <f t="shared" si="246"/>
        <v>13.754285714285713</v>
      </c>
      <c r="AX193" s="6">
        <f t="shared" si="247"/>
        <v>25.789285714285707</v>
      </c>
      <c r="AY193" s="6">
        <f t="shared" si="248"/>
        <v>6.7826679152561633</v>
      </c>
      <c r="AZ193" s="6"/>
      <c r="BA193" s="181">
        <f t="shared" si="249"/>
        <v>0.61910539175344215</v>
      </c>
      <c r="BB193" s="181">
        <f t="shared" si="250"/>
        <v>0.5635085156722569</v>
      </c>
      <c r="BC193" s="181">
        <f t="shared" si="251"/>
        <v>0.55553970837992195</v>
      </c>
      <c r="BD193" s="181"/>
      <c r="BE193" s="548">
        <f t="shared" si="252"/>
        <v>0.13415202013436406</v>
      </c>
      <c r="BF193" s="548">
        <f t="shared" si="253"/>
        <v>2.1295237441067309E-2</v>
      </c>
      <c r="BG193" s="548">
        <f t="shared" si="254"/>
        <v>8.2507700275347975E-4</v>
      </c>
      <c r="BH193" s="548">
        <f t="shared" si="255"/>
        <v>1.8789375449079651E-3</v>
      </c>
      <c r="BI193">
        <f t="shared" si="256"/>
        <v>2.0300000000000001E-3</v>
      </c>
      <c r="BJ193" s="474">
        <f t="shared" si="257"/>
        <v>160.18127212309284</v>
      </c>
      <c r="BK193" s="181">
        <f t="shared" si="258"/>
        <v>8.7149999999999991E-2</v>
      </c>
      <c r="BL193" s="181">
        <f t="shared" si="259"/>
        <v>8.7149999999999991E-2</v>
      </c>
      <c r="BM193" s="548"/>
      <c r="BO193" s="474">
        <f t="shared" si="260"/>
        <v>174.29999999999998</v>
      </c>
      <c r="BP193" s="548">
        <f t="shared" si="261"/>
        <v>0</v>
      </c>
      <c r="BQ193" s="548">
        <f t="shared" si="262"/>
        <v>0</v>
      </c>
      <c r="BR193" s="548">
        <f t="shared" si="263"/>
        <v>2.7776193082816387E-2</v>
      </c>
      <c r="BS193" s="548">
        <f t="shared" si="264"/>
        <v>4.480754844902254E-3</v>
      </c>
      <c r="BT193" s="658">
        <f t="shared" si="301"/>
        <v>0.1457168494562921</v>
      </c>
      <c r="BU193" s="474">
        <f t="shared" ref="BU193:BU210" si="308">SUM(BP193:BT193)*1000</f>
        <v>177.97379738401074</v>
      </c>
      <c r="BV193" s="181">
        <f t="shared" ref="BV193:BV210" si="309">SUM(BE193:BI193,BK193:BN193,BP193:BT193)</f>
        <v>0.51245506950710351</v>
      </c>
      <c r="BW193" s="6">
        <f t="shared" ref="BW193:BW210" si="310">MIN(H193+I193,O193+P193)</f>
        <v>3.7112703957010256</v>
      </c>
      <c r="BX193" s="181">
        <f t="shared" ref="BX193:BX210" si="311">BW193/(BW193+BV193)</f>
        <v>0.87867225895046386</v>
      </c>
      <c r="BY193" s="6">
        <f t="shared" ref="BY193:BY210" si="312">BX193*100</f>
        <v>87.867225895046388</v>
      </c>
      <c r="BZ193">
        <f t="shared" ref="BZ193:BZ210" si="313">F193/Iout*100</f>
        <v>83</v>
      </c>
      <c r="CB193" s="583">
        <f t="shared" si="302"/>
        <v>-50</v>
      </c>
      <c r="CC193">
        <f t="shared" si="303"/>
        <v>-50</v>
      </c>
    </row>
    <row r="194" spans="5:81" x14ac:dyDescent="0.2">
      <c r="E194" s="178">
        <v>84</v>
      </c>
      <c r="F194" s="225">
        <f t="shared" si="304"/>
        <v>0.252</v>
      </c>
      <c r="G194" s="225">
        <f t="shared" si="271"/>
        <v>0.252</v>
      </c>
      <c r="H194" s="225">
        <f t="shared" si="272"/>
        <v>3.7800000000000002</v>
      </c>
      <c r="I194" s="225">
        <f t="shared" si="273"/>
        <v>2.016</v>
      </c>
      <c r="J194" s="561">
        <f t="shared" si="274"/>
        <v>7</v>
      </c>
      <c r="K194" s="456">
        <f t="shared" si="275"/>
        <v>8.3517953102100631</v>
      </c>
      <c r="L194" s="456">
        <f t="shared" si="276"/>
        <v>22.25</v>
      </c>
      <c r="M194" s="456"/>
      <c r="N194" s="225">
        <f t="shared" si="277"/>
        <v>0.6853932584269663</v>
      </c>
      <c r="O194" s="180">
        <f t="shared" si="278"/>
        <v>2.0416524181729359</v>
      </c>
      <c r="P194" s="180">
        <f t="shared" si="279"/>
        <v>1.6696179775280899</v>
      </c>
      <c r="Q194" s="225">
        <f t="shared" si="280"/>
        <v>0.13611016121152905</v>
      </c>
      <c r="R194" s="225">
        <f t="shared" si="281"/>
        <v>0.25520655227161698</v>
      </c>
      <c r="S194" s="225">
        <f t="shared" si="282"/>
        <v>8.1017953102100631</v>
      </c>
      <c r="T194" s="225">
        <f t="shared" si="283"/>
        <v>1.45</v>
      </c>
      <c r="U194" s="225">
        <f t="shared" si="284"/>
        <v>8.2857142857142847</v>
      </c>
      <c r="V194" s="225">
        <f t="shared" si="285"/>
        <v>6.9446146422069335</v>
      </c>
      <c r="W194" s="205">
        <f t="shared" si="286"/>
        <v>328.29231881090095</v>
      </c>
      <c r="X194" s="456">
        <f t="shared" si="287"/>
        <v>65.65846376218019</v>
      </c>
      <c r="Z194" s="225">
        <f t="shared" si="288"/>
        <v>0.28999999999999998</v>
      </c>
      <c r="AA194" s="181">
        <f t="shared" si="289"/>
        <v>1.3889229284413867</v>
      </c>
      <c r="AB194" s="181">
        <f t="shared" si="290"/>
        <v>4.3119160226092974E-2</v>
      </c>
      <c r="AC194" s="181"/>
      <c r="AD194" s="181">
        <f t="shared" si="291"/>
        <v>1.3889229284413867</v>
      </c>
      <c r="AE194" s="565">
        <f t="shared" si="292"/>
        <v>1251.2796778673817</v>
      </c>
      <c r="AF194" s="548">
        <f t="shared" si="293"/>
        <v>6.6116045680009228E-2</v>
      </c>
      <c r="AH194" s="181">
        <f t="shared" si="294"/>
        <v>0.90994505328618602</v>
      </c>
      <c r="AI194" s="181">
        <f t="shared" si="295"/>
        <v>1.45</v>
      </c>
      <c r="AJ194" s="181">
        <f t="shared" si="296"/>
        <v>2.0592592592592593</v>
      </c>
      <c r="AL194" s="565">
        <f t="shared" si="297"/>
        <v>252</v>
      </c>
      <c r="AM194" s="474">
        <f t="shared" si="298"/>
        <v>65.65846376218019</v>
      </c>
      <c r="AO194" t="str">
        <f t="shared" si="299"/>
        <v/>
      </c>
      <c r="AP194" t="str">
        <f t="shared" si="300"/>
        <v/>
      </c>
      <c r="AR194" s="6">
        <f t="shared" si="225"/>
        <v>15.230328927921219</v>
      </c>
      <c r="AS194" s="6">
        <f t="shared" si="305"/>
        <v>8.2857142857142847</v>
      </c>
      <c r="AT194" s="6">
        <f t="shared" si="306"/>
        <v>6.9446146422069344</v>
      </c>
      <c r="AU194" s="181">
        <f t="shared" si="307"/>
        <v>0.54402727117235006</v>
      </c>
      <c r="AW194" s="6">
        <f t="shared" si="246"/>
        <v>13.919999999999998</v>
      </c>
      <c r="AX194" s="6">
        <f t="shared" si="247"/>
        <v>26.099999999999994</v>
      </c>
      <c r="AY194" s="6">
        <f t="shared" si="248"/>
        <v>6.9446146422069335</v>
      </c>
      <c r="AZ194" s="6"/>
      <c r="BA194" s="181">
        <f t="shared" si="249"/>
        <v>0.61747262763620159</v>
      </c>
      <c r="BB194" s="181">
        <f t="shared" si="250"/>
        <v>0.56529716738488789</v>
      </c>
      <c r="BC194" s="181">
        <f t="shared" si="251"/>
        <v>0.55730306602792989</v>
      </c>
      <c r="BD194" s="181"/>
      <c r="BE194" s="548">
        <f t="shared" si="252"/>
        <v>0.13344535605798433</v>
      </c>
      <c r="BF194" s="548">
        <f t="shared" si="253"/>
        <v>2.1183061871273383E-2</v>
      </c>
      <c r="BG194" s="548">
        <f t="shared" si="254"/>
        <v>8.2073079702725234E-4</v>
      </c>
      <c r="BH194" s="548">
        <f t="shared" si="255"/>
        <v>1.869039984935199E-3</v>
      </c>
      <c r="BI194">
        <f t="shared" si="256"/>
        <v>2.0300000000000001E-3</v>
      </c>
      <c r="BJ194" s="474">
        <f t="shared" si="257"/>
        <v>159.34818871122016</v>
      </c>
      <c r="BK194" s="181">
        <f t="shared" si="258"/>
        <v>8.8200000000000001E-2</v>
      </c>
      <c r="BL194" s="181">
        <f t="shared" si="259"/>
        <v>8.8200000000000001E-2</v>
      </c>
      <c r="BM194" s="548"/>
      <c r="BO194" s="474">
        <f t="shared" si="260"/>
        <v>176.4</v>
      </c>
      <c r="BP194" s="548">
        <f t="shared" si="261"/>
        <v>0</v>
      </c>
      <c r="BQ194" s="548">
        <f t="shared" si="262"/>
        <v>0</v>
      </c>
      <c r="BR194" s="548">
        <f t="shared" si="263"/>
        <v>2.7952803666371807E-2</v>
      </c>
      <c r="BS194" s="548">
        <f t="shared" si="264"/>
        <v>4.4219802932216569E-3</v>
      </c>
      <c r="BT194" s="658">
        <f t="shared" si="301"/>
        <v>0.14494926606298308</v>
      </c>
      <c r="BU194" s="474">
        <f t="shared" si="308"/>
        <v>177.32405002257656</v>
      </c>
      <c r="BV194" s="181">
        <f t="shared" si="309"/>
        <v>0.5130722387337967</v>
      </c>
      <c r="BW194" s="6">
        <f t="shared" si="310"/>
        <v>3.7112703957010256</v>
      </c>
      <c r="BX194" s="181">
        <f t="shared" si="311"/>
        <v>0.87854388643774373</v>
      </c>
      <c r="BY194" s="6">
        <f t="shared" si="312"/>
        <v>87.854388643774371</v>
      </c>
      <c r="BZ194">
        <f t="shared" si="313"/>
        <v>84.000000000000014</v>
      </c>
      <c r="CB194" s="583">
        <f t="shared" si="302"/>
        <v>-50</v>
      </c>
      <c r="CC194">
        <f t="shared" si="303"/>
        <v>-50</v>
      </c>
    </row>
    <row r="195" spans="5:81" x14ac:dyDescent="0.2">
      <c r="E195" s="178">
        <v>85</v>
      </c>
      <c r="F195" s="225">
        <f t="shared" si="304"/>
        <v>0.255</v>
      </c>
      <c r="G195" s="225">
        <f t="shared" si="271"/>
        <v>0.255</v>
      </c>
      <c r="H195" s="225">
        <f t="shared" si="272"/>
        <v>3.8250000000000002</v>
      </c>
      <c r="I195" s="225">
        <f t="shared" si="273"/>
        <v>2.04</v>
      </c>
      <c r="J195" s="561">
        <f t="shared" si="274"/>
        <v>7</v>
      </c>
      <c r="K195" s="456">
        <f t="shared" si="275"/>
        <v>8.2564800712664148</v>
      </c>
      <c r="L195" s="456">
        <f t="shared" si="276"/>
        <v>22.25</v>
      </c>
      <c r="M195" s="456"/>
      <c r="N195" s="225">
        <f t="shared" si="277"/>
        <v>0.6853932584269663</v>
      </c>
      <c r="O195" s="180">
        <f t="shared" si="278"/>
        <v>2.0416524181729359</v>
      </c>
      <c r="P195" s="180">
        <f t="shared" si="279"/>
        <v>1.6696179775280899</v>
      </c>
      <c r="Q195" s="225">
        <f t="shared" si="280"/>
        <v>0.13611016121152905</v>
      </c>
      <c r="R195" s="225">
        <f t="shared" si="281"/>
        <v>0.25520655227161698</v>
      </c>
      <c r="S195" s="225">
        <f t="shared" si="282"/>
        <v>8.0064800712664148</v>
      </c>
      <c r="T195" s="225">
        <f t="shared" si="283"/>
        <v>1.45</v>
      </c>
      <c r="U195" s="225">
        <f t="shared" si="284"/>
        <v>8.2857142857142847</v>
      </c>
      <c r="V195" s="225">
        <f t="shared" si="285"/>
        <v>7.0247853200599693</v>
      </c>
      <c r="W195" s="205">
        <f t="shared" si="286"/>
        <v>326.57327512122998</v>
      </c>
      <c r="X195" s="456">
        <f t="shared" si="287"/>
        <v>65.314655024246022</v>
      </c>
      <c r="Z195" s="225">
        <f t="shared" si="288"/>
        <v>0.29000000000000004</v>
      </c>
      <c r="AA195" s="181">
        <f t="shared" si="289"/>
        <v>1.4049570640119942</v>
      </c>
      <c r="AB195" s="181">
        <f t="shared" si="290"/>
        <v>4.3388548252741403E-2</v>
      </c>
      <c r="AC195" s="181"/>
      <c r="AD195" s="181">
        <f t="shared" si="291"/>
        <v>1.4049570640119939</v>
      </c>
      <c r="AE195" s="565">
        <f t="shared" si="292"/>
        <v>1251.7255756081663</v>
      </c>
      <c r="AF195" s="548">
        <f t="shared" si="293"/>
        <v>6.652910732087014E-2</v>
      </c>
      <c r="AH195" s="181">
        <f t="shared" si="294"/>
        <v>0.9153453680754291</v>
      </c>
      <c r="AI195" s="181">
        <f t="shared" si="295"/>
        <v>1.45</v>
      </c>
      <c r="AJ195" s="181">
        <f t="shared" si="296"/>
        <v>2.0592592592592593</v>
      </c>
      <c r="AL195" s="565">
        <f t="shared" si="297"/>
        <v>255</v>
      </c>
      <c r="AM195" s="474">
        <f t="shared" si="298"/>
        <v>65.314655024246022</v>
      </c>
      <c r="AO195" t="str">
        <f t="shared" si="299"/>
        <v/>
      </c>
      <c r="AP195" t="str">
        <f t="shared" si="300"/>
        <v/>
      </c>
      <c r="AR195" s="6">
        <f t="shared" si="225"/>
        <v>15.310499605774252</v>
      </c>
      <c r="AS195" s="6">
        <f t="shared" si="305"/>
        <v>8.2857142857142847</v>
      </c>
      <c r="AT195" s="6">
        <f t="shared" si="306"/>
        <v>7.0247853200599675</v>
      </c>
      <c r="AU195" s="181">
        <f t="shared" si="307"/>
        <v>0.54117857020089555</v>
      </c>
      <c r="AW195" s="6">
        <f t="shared" si="246"/>
        <v>14.085714285714284</v>
      </c>
      <c r="AX195" s="6">
        <f t="shared" si="247"/>
        <v>26.410714285714281</v>
      </c>
      <c r="AY195" s="6">
        <f t="shared" si="248"/>
        <v>7.1084137167273465</v>
      </c>
      <c r="AZ195" s="6"/>
      <c r="BA195" s="181">
        <f t="shared" si="249"/>
        <v>0.61585386357679117</v>
      </c>
      <c r="BB195" s="181">
        <f t="shared" si="250"/>
        <v>0.56706027197368736</v>
      </c>
      <c r="BC195" s="181">
        <f t="shared" si="251"/>
        <v>0.5590412378245645</v>
      </c>
      <c r="BD195" s="181"/>
      <c r="BE195" s="548">
        <f t="shared" si="252"/>
        <v>0.13274659344886131</v>
      </c>
      <c r="BF195" s="548">
        <f t="shared" si="253"/>
        <v>2.1072140577197369E-2</v>
      </c>
      <c r="BG195" s="548">
        <f t="shared" si="254"/>
        <v>8.1643318780307526E-4</v>
      </c>
      <c r="BH195" s="548">
        <f t="shared" si="255"/>
        <v>1.8592530931690956E-3</v>
      </c>
      <c r="BI195">
        <f t="shared" si="256"/>
        <v>2.0300000000000001E-3</v>
      </c>
      <c r="BJ195" s="474">
        <f t="shared" si="257"/>
        <v>158.52442030703085</v>
      </c>
      <c r="BK195" s="181">
        <f t="shared" si="258"/>
        <v>8.9249999999999996E-2</v>
      </c>
      <c r="BL195" s="181">
        <f t="shared" si="259"/>
        <v>8.9249999999999996E-2</v>
      </c>
      <c r="BM195" s="548"/>
      <c r="BO195" s="474">
        <f t="shared" si="260"/>
        <v>178.5</v>
      </c>
      <c r="BP195" s="548">
        <f t="shared" si="261"/>
        <v>0</v>
      </c>
      <c r="BQ195" s="548">
        <f t="shared" si="262"/>
        <v>0</v>
      </c>
      <c r="BR195" s="548">
        <f t="shared" si="263"/>
        <v>2.8127439502957916E-2</v>
      </c>
      <c r="BS195" s="548">
        <f t="shared" si="264"/>
        <v>4.3643201703968343E-3</v>
      </c>
      <c r="BT195" s="658">
        <f t="shared" si="301"/>
        <v>0.14419026529790116</v>
      </c>
      <c r="BU195" s="474">
        <f t="shared" si="308"/>
        <v>176.68202497125591</v>
      </c>
      <c r="BV195" s="181">
        <f t="shared" si="309"/>
        <v>0.51370644527828679</v>
      </c>
      <c r="BW195" s="6">
        <f t="shared" si="310"/>
        <v>3.7112703957010256</v>
      </c>
      <c r="BX195" s="181">
        <f t="shared" si="311"/>
        <v>0.87841200919832396</v>
      </c>
      <c r="BY195" s="6">
        <f t="shared" si="312"/>
        <v>87.841200919832403</v>
      </c>
      <c r="BZ195">
        <f t="shared" si="313"/>
        <v>85.000000000000014</v>
      </c>
      <c r="CB195" s="583">
        <f t="shared" si="302"/>
        <v>-50</v>
      </c>
      <c r="CC195">
        <f t="shared" si="303"/>
        <v>-50</v>
      </c>
    </row>
    <row r="196" spans="5:81" x14ac:dyDescent="0.2">
      <c r="E196" s="178">
        <v>86</v>
      </c>
      <c r="F196" s="225">
        <f t="shared" si="304"/>
        <v>0.25800000000000001</v>
      </c>
      <c r="G196" s="225">
        <f t="shared" si="271"/>
        <v>0.25800000000000001</v>
      </c>
      <c r="H196" s="225">
        <f t="shared" si="272"/>
        <v>3.87</v>
      </c>
      <c r="I196" s="225">
        <f t="shared" si="273"/>
        <v>2.0640000000000001</v>
      </c>
      <c r="J196" s="561">
        <f t="shared" si="274"/>
        <v>7</v>
      </c>
      <c r="K196" s="456">
        <f t="shared" si="275"/>
        <v>8.1633814657865731</v>
      </c>
      <c r="L196" s="456">
        <f t="shared" si="276"/>
        <v>22.25</v>
      </c>
      <c r="M196" s="456"/>
      <c r="N196" s="225">
        <f t="shared" si="277"/>
        <v>0.6853932584269663</v>
      </c>
      <c r="O196" s="180">
        <f t="shared" si="278"/>
        <v>2.0416524181729359</v>
      </c>
      <c r="P196" s="180">
        <f t="shared" si="279"/>
        <v>1.6696179775280899</v>
      </c>
      <c r="Q196" s="225">
        <f t="shared" si="280"/>
        <v>0.13611016121152905</v>
      </c>
      <c r="R196" s="225">
        <f t="shared" si="281"/>
        <v>0.25520655227161698</v>
      </c>
      <c r="S196" s="225">
        <f t="shared" si="282"/>
        <v>7.9133814657865731</v>
      </c>
      <c r="T196" s="225">
        <f t="shared" si="283"/>
        <v>1.45</v>
      </c>
      <c r="U196" s="225">
        <f t="shared" si="284"/>
        <v>8.2857142857142847</v>
      </c>
      <c r="V196" s="225">
        <f t="shared" si="285"/>
        <v>7.1048989004229366</v>
      </c>
      <c r="W196" s="205">
        <f t="shared" si="286"/>
        <v>324.87334581988245</v>
      </c>
      <c r="X196" s="456">
        <f t="shared" si="287"/>
        <v>64.974669163976486</v>
      </c>
      <c r="Z196" s="225">
        <f t="shared" si="288"/>
        <v>0.28999999999999998</v>
      </c>
      <c r="AA196" s="181">
        <f t="shared" si="289"/>
        <v>1.4209797800845874</v>
      </c>
      <c r="AB196" s="181">
        <f t="shared" si="290"/>
        <v>4.36549409003998E-2</v>
      </c>
      <c r="AC196" s="181"/>
      <c r="AD196" s="181">
        <f t="shared" si="291"/>
        <v>1.4209797800845874</v>
      </c>
      <c r="AE196" s="565">
        <f t="shared" si="292"/>
        <v>1252.1714733489512</v>
      </c>
      <c r="AF196" s="548">
        <f t="shared" si="293"/>
        <v>6.6937576047279693E-2</v>
      </c>
      <c r="AH196" s="181">
        <f t="shared" si="294"/>
        <v>0.92071400864453323</v>
      </c>
      <c r="AI196" s="181">
        <f t="shared" si="295"/>
        <v>1.45</v>
      </c>
      <c r="AJ196" s="181">
        <f t="shared" si="296"/>
        <v>2.0592592592592593</v>
      </c>
      <c r="AL196" s="565">
        <f t="shared" si="297"/>
        <v>258</v>
      </c>
      <c r="AM196" s="474">
        <f t="shared" si="298"/>
        <v>64.974669163976486</v>
      </c>
      <c r="AO196" t="str">
        <f t="shared" si="299"/>
        <v/>
      </c>
      <c r="AP196" t="str">
        <f t="shared" si="300"/>
        <v/>
      </c>
      <c r="AR196" s="6">
        <f t="shared" si="225"/>
        <v>15.390613186137221</v>
      </c>
      <c r="AS196" s="6">
        <f t="shared" si="305"/>
        <v>8.2857142857142847</v>
      </c>
      <c r="AT196" s="6">
        <f t="shared" si="306"/>
        <v>7.1048989004229366</v>
      </c>
      <c r="AU196" s="181">
        <f t="shared" si="307"/>
        <v>0.53836154450151941</v>
      </c>
      <c r="AW196" s="6">
        <f t="shared" si="246"/>
        <v>14.251428571428569</v>
      </c>
      <c r="AX196" s="6">
        <f t="shared" si="247"/>
        <v>26.721428571428568</v>
      </c>
      <c r="AY196" s="6">
        <f t="shared" si="248"/>
        <v>7.274063159956814</v>
      </c>
      <c r="AZ196" s="6"/>
      <c r="BA196" s="181">
        <f t="shared" si="249"/>
        <v>0.61424890376091146</v>
      </c>
      <c r="BB196" s="181">
        <f t="shared" si="250"/>
        <v>0.56879839799515242</v>
      </c>
      <c r="BC196" s="181">
        <f t="shared" si="251"/>
        <v>0.56075478428613013</v>
      </c>
      <c r="BD196" s="181"/>
      <c r="BE196" s="548">
        <f t="shared" si="252"/>
        <v>0.1320556005200185</v>
      </c>
      <c r="BF196" s="548">
        <f t="shared" si="253"/>
        <v>2.096245263902791E-2</v>
      </c>
      <c r="BG196" s="548">
        <f t="shared" si="254"/>
        <v>8.1218336454970603E-4</v>
      </c>
      <c r="BH196" s="548">
        <f t="shared" si="255"/>
        <v>1.8495750237969885E-3</v>
      </c>
      <c r="BI196">
        <f t="shared" si="256"/>
        <v>2.0300000000000001E-3</v>
      </c>
      <c r="BJ196" s="474">
        <f t="shared" si="257"/>
        <v>157.70981154739312</v>
      </c>
      <c r="BK196" s="181">
        <f t="shared" si="258"/>
        <v>9.0299999999999991E-2</v>
      </c>
      <c r="BL196" s="181">
        <f t="shared" si="259"/>
        <v>9.0299999999999991E-2</v>
      </c>
      <c r="BM196" s="548"/>
      <c r="BO196" s="474">
        <f t="shared" si="260"/>
        <v>180.6</v>
      </c>
      <c r="BP196" s="548">
        <f t="shared" si="261"/>
        <v>0</v>
      </c>
      <c r="BQ196" s="548">
        <f t="shared" si="262"/>
        <v>0</v>
      </c>
      <c r="BR196" s="548">
        <f t="shared" si="263"/>
        <v>2.830013352898059E-2</v>
      </c>
      <c r="BS196" s="548">
        <f t="shared" si="264"/>
        <v>4.3077471329009808E-3</v>
      </c>
      <c r="BT196" s="658">
        <f t="shared" si="301"/>
        <v>0.14343970401312361</v>
      </c>
      <c r="BU196" s="474">
        <f t="shared" si="308"/>
        <v>176.0475846750052</v>
      </c>
      <c r="BV196" s="181">
        <f t="shared" si="309"/>
        <v>0.51435739622239829</v>
      </c>
      <c r="BW196" s="6">
        <f t="shared" si="310"/>
        <v>3.7112703957010256</v>
      </c>
      <c r="BX196" s="181">
        <f t="shared" si="311"/>
        <v>0.87827669128703056</v>
      </c>
      <c r="BY196" s="6">
        <f t="shared" si="312"/>
        <v>87.82766912870305</v>
      </c>
      <c r="BZ196">
        <f t="shared" si="313"/>
        <v>86.000000000000014</v>
      </c>
      <c r="CB196" s="583">
        <f t="shared" si="302"/>
        <v>-50</v>
      </c>
      <c r="CC196">
        <f t="shared" si="303"/>
        <v>-50</v>
      </c>
    </row>
    <row r="197" spans="5:81" x14ac:dyDescent="0.2">
      <c r="E197" s="178">
        <v>87</v>
      </c>
      <c r="F197" s="225">
        <f t="shared" si="304"/>
        <v>0.26100000000000001</v>
      </c>
      <c r="G197" s="225">
        <f t="shared" si="271"/>
        <v>0.26100000000000001</v>
      </c>
      <c r="H197" s="225">
        <f t="shared" si="272"/>
        <v>3.915</v>
      </c>
      <c r="I197" s="225">
        <f t="shared" si="273"/>
        <v>2.0880000000000001</v>
      </c>
      <c r="J197" s="561">
        <f t="shared" si="274"/>
        <v>7</v>
      </c>
      <c r="K197" s="456">
        <f t="shared" si="275"/>
        <v>8.0724230581338539</v>
      </c>
      <c r="L197" s="456">
        <f t="shared" si="276"/>
        <v>22.25</v>
      </c>
      <c r="M197" s="456"/>
      <c r="N197" s="225">
        <f t="shared" si="277"/>
        <v>0.6853932584269663</v>
      </c>
      <c r="O197" s="180">
        <f t="shared" si="278"/>
        <v>2.0416524181729359</v>
      </c>
      <c r="P197" s="180">
        <f t="shared" si="279"/>
        <v>1.6696179775280899</v>
      </c>
      <c r="Q197" s="225">
        <f t="shared" si="280"/>
        <v>0.13611016121152905</v>
      </c>
      <c r="R197" s="225">
        <f t="shared" si="281"/>
        <v>0.25520655227161698</v>
      </c>
      <c r="S197" s="225">
        <f t="shared" si="282"/>
        <v>7.8224230581338539</v>
      </c>
      <c r="T197" s="225">
        <f t="shared" si="283"/>
        <v>1.45</v>
      </c>
      <c r="U197" s="225">
        <f t="shared" si="284"/>
        <v>8.2857142857142847</v>
      </c>
      <c r="V197" s="225">
        <f t="shared" si="285"/>
        <v>7.1849554442712993</v>
      </c>
      <c r="W197" s="205">
        <f t="shared" si="286"/>
        <v>323.19221386446463</v>
      </c>
      <c r="X197" s="456">
        <f t="shared" si="287"/>
        <v>64.638442772892915</v>
      </c>
      <c r="Z197" s="225">
        <f t="shared" si="288"/>
        <v>0.28999999999999998</v>
      </c>
      <c r="AA197" s="181">
        <f t="shared" si="289"/>
        <v>1.4369910888542599</v>
      </c>
      <c r="AB197" s="181">
        <f t="shared" si="290"/>
        <v>4.391838785217117E-2</v>
      </c>
      <c r="AC197" s="181"/>
      <c r="AD197" s="181">
        <f t="shared" si="291"/>
        <v>1.4369910888542599</v>
      </c>
      <c r="AE197" s="565">
        <f t="shared" si="292"/>
        <v>1252.617371089736</v>
      </c>
      <c r="AF197" s="548">
        <f t="shared" si="293"/>
        <v>6.7341528039995796E-2</v>
      </c>
      <c r="AH197" s="181">
        <f t="shared" si="294"/>
        <v>0.92605152587284711</v>
      </c>
      <c r="AI197" s="181">
        <f t="shared" si="295"/>
        <v>1.45</v>
      </c>
      <c r="AJ197" s="181">
        <f t="shared" si="296"/>
        <v>2.0592592592592593</v>
      </c>
      <c r="AL197" s="565">
        <f t="shared" si="297"/>
        <v>261</v>
      </c>
      <c r="AM197" s="474">
        <f t="shared" si="298"/>
        <v>64.638442772892915</v>
      </c>
      <c r="AO197" t="str">
        <f t="shared" si="299"/>
        <v/>
      </c>
      <c r="AP197" t="str">
        <f t="shared" si="300"/>
        <v/>
      </c>
      <c r="AR197" s="6">
        <f t="shared" si="225"/>
        <v>15.470669729985586</v>
      </c>
      <c r="AS197" s="6">
        <f t="shared" si="305"/>
        <v>8.2857142857142847</v>
      </c>
      <c r="AT197" s="6">
        <f t="shared" si="306"/>
        <v>7.1849554442713011</v>
      </c>
      <c r="AU197" s="181">
        <f t="shared" si="307"/>
        <v>0.53557566868968409</v>
      </c>
      <c r="AW197" s="6">
        <f t="shared" si="246"/>
        <v>14.417142857142856</v>
      </c>
      <c r="AX197" s="6">
        <f t="shared" si="247"/>
        <v>27.032142857142855</v>
      </c>
      <c r="AY197" s="6">
        <f t="shared" si="248"/>
        <v>7.4415609958524165</v>
      </c>
      <c r="AZ197" s="6"/>
      <c r="BA197" s="181">
        <f t="shared" si="249"/>
        <v>0.61265755617638495</v>
      </c>
      <c r="BB197" s="181">
        <f t="shared" si="250"/>
        <v>0.57051209644784306</v>
      </c>
      <c r="BC197" s="181">
        <f t="shared" si="251"/>
        <v>0.56244424861928777</v>
      </c>
      <c r="BD197" s="181"/>
      <c r="BE197" s="548">
        <f t="shared" si="252"/>
        <v>0.1313722483990071</v>
      </c>
      <c r="BF197" s="548">
        <f t="shared" si="253"/>
        <v>2.0853977599604574E-2</v>
      </c>
      <c r="BG197" s="548">
        <f t="shared" si="254"/>
        <v>8.0798053466116151E-4</v>
      </c>
      <c r="BH197" s="548">
        <f t="shared" si="255"/>
        <v>1.8400039718271797E-3</v>
      </c>
      <c r="BI197">
        <f t="shared" si="256"/>
        <v>2.0300000000000001E-3</v>
      </c>
      <c r="BJ197" s="474">
        <f t="shared" si="257"/>
        <v>156.90421050510002</v>
      </c>
      <c r="BK197" s="181">
        <f t="shared" si="258"/>
        <v>9.1350000000000001E-2</v>
      </c>
      <c r="BL197" s="181">
        <f t="shared" si="259"/>
        <v>9.1350000000000001E-2</v>
      </c>
      <c r="BM197" s="548"/>
      <c r="BO197" s="474">
        <f t="shared" si="260"/>
        <v>182.7</v>
      </c>
      <c r="BP197" s="548">
        <f t="shared" si="261"/>
        <v>0</v>
      </c>
      <c r="BQ197" s="548">
        <f t="shared" si="262"/>
        <v>0</v>
      </c>
      <c r="BR197" s="548">
        <f t="shared" si="263"/>
        <v>2.8470917952442363E-2</v>
      </c>
      <c r="BS197" s="548">
        <f t="shared" si="264"/>
        <v>4.2522346571652134E-3</v>
      </c>
      <c r="BT197" s="658">
        <f t="shared" si="301"/>
        <v>0.14269744222650776</v>
      </c>
      <c r="BU197" s="474">
        <f t="shared" si="308"/>
        <v>175.42059483611533</v>
      </c>
      <c r="BV197" s="181">
        <f t="shared" si="309"/>
        <v>0.51502480534121542</v>
      </c>
      <c r="BW197" s="6">
        <f t="shared" si="310"/>
        <v>3.7112703957010256</v>
      </c>
      <c r="BX197" s="181">
        <f t="shared" si="311"/>
        <v>0.8781379953737718</v>
      </c>
      <c r="BY197" s="6">
        <f t="shared" si="312"/>
        <v>87.813799537377179</v>
      </c>
      <c r="BZ197">
        <f t="shared" si="313"/>
        <v>87.000000000000014</v>
      </c>
      <c r="CB197" s="583">
        <f t="shared" si="302"/>
        <v>-50</v>
      </c>
      <c r="CC197">
        <f t="shared" si="303"/>
        <v>-50</v>
      </c>
    </row>
    <row r="198" spans="5:81" x14ac:dyDescent="0.2">
      <c r="E198" s="178">
        <v>88</v>
      </c>
      <c r="F198" s="225">
        <f t="shared" si="304"/>
        <v>0.26400000000000001</v>
      </c>
      <c r="G198" s="225">
        <f t="shared" si="271"/>
        <v>0.26400000000000001</v>
      </c>
      <c r="H198" s="225">
        <f t="shared" si="272"/>
        <v>3.96</v>
      </c>
      <c r="I198" s="225">
        <f t="shared" si="273"/>
        <v>2.1120000000000001</v>
      </c>
      <c r="J198" s="561">
        <f t="shared" si="274"/>
        <v>7</v>
      </c>
      <c r="K198" s="456">
        <f t="shared" si="275"/>
        <v>7.983531887018696</v>
      </c>
      <c r="L198" s="456">
        <f t="shared" si="276"/>
        <v>22.25</v>
      </c>
      <c r="M198" s="456"/>
      <c r="N198" s="225">
        <f t="shared" si="277"/>
        <v>0.6853932584269663</v>
      </c>
      <c r="O198" s="180">
        <f t="shared" si="278"/>
        <v>2.0416524181729359</v>
      </c>
      <c r="P198" s="180">
        <f t="shared" si="279"/>
        <v>1.6696179775280899</v>
      </c>
      <c r="Q198" s="225">
        <f t="shared" si="280"/>
        <v>0.13611016121152905</v>
      </c>
      <c r="R198" s="225">
        <f t="shared" si="281"/>
        <v>0.25520655227161698</v>
      </c>
      <c r="S198" s="225">
        <f t="shared" si="282"/>
        <v>7.733531887018696</v>
      </c>
      <c r="T198" s="225">
        <f t="shared" si="283"/>
        <v>1.45</v>
      </c>
      <c r="U198" s="225">
        <f t="shared" si="284"/>
        <v>8.2857142857142847</v>
      </c>
      <c r="V198" s="225">
        <f t="shared" si="285"/>
        <v>7.2649550124937292</v>
      </c>
      <c r="W198" s="205">
        <f t="shared" si="286"/>
        <v>321.52956918556396</v>
      </c>
      <c r="X198" s="456">
        <f t="shared" si="287"/>
        <v>64.305913837112797</v>
      </c>
      <c r="Z198" s="225">
        <f t="shared" si="288"/>
        <v>0.29000000000000004</v>
      </c>
      <c r="AA198" s="181">
        <f t="shared" si="289"/>
        <v>1.4529910024987462</v>
      </c>
      <c r="AB198" s="181">
        <f t="shared" si="290"/>
        <v>4.4178937698436165E-2</v>
      </c>
      <c r="AC198" s="181"/>
      <c r="AD198" s="181">
        <f t="shared" si="291"/>
        <v>1.452991002498746</v>
      </c>
      <c r="AE198" s="565">
        <f t="shared" si="292"/>
        <v>1253.0632688305209</v>
      </c>
      <c r="AF198" s="548">
        <f t="shared" si="293"/>
        <v>6.7741037804268753E-2</v>
      </c>
      <c r="AH198" s="181">
        <f t="shared" si="294"/>
        <v>0.93135845485429047</v>
      </c>
      <c r="AI198" s="181">
        <f t="shared" si="295"/>
        <v>1.45</v>
      </c>
      <c r="AJ198" s="181">
        <f t="shared" si="296"/>
        <v>2.0592592592592593</v>
      </c>
      <c r="AL198" s="565">
        <f t="shared" si="297"/>
        <v>264</v>
      </c>
      <c r="AM198" s="474">
        <f t="shared" si="298"/>
        <v>64.305913837112797</v>
      </c>
      <c r="AO198" t="str">
        <f t="shared" si="299"/>
        <v/>
      </c>
      <c r="AP198" t="str">
        <f t="shared" si="300"/>
        <v/>
      </c>
      <c r="AR198" s="6">
        <f t="shared" ref="AR198:AR262" si="314">1/AM198*1000</f>
        <v>15.550669298208016</v>
      </c>
      <c r="AS198" s="6">
        <f t="shared" si="305"/>
        <v>8.2857142857142847</v>
      </c>
      <c r="AT198" s="6">
        <f t="shared" si="306"/>
        <v>7.264955012493731</v>
      </c>
      <c r="AU198" s="181">
        <f t="shared" si="307"/>
        <v>0.53282042893607739</v>
      </c>
      <c r="AW198" s="6">
        <f t="shared" si="246"/>
        <v>14.582857142857142</v>
      </c>
      <c r="AX198" s="6">
        <f t="shared" si="247"/>
        <v>27.342857142857142</v>
      </c>
      <c r="AY198" s="6">
        <f t="shared" si="248"/>
        <v>7.6109052511839055</v>
      </c>
      <c r="AZ198" s="6"/>
      <c r="BA198" s="181">
        <f t="shared" si="249"/>
        <v>0.61107963251884578</v>
      </c>
      <c r="BB198" s="181">
        <f t="shared" si="250"/>
        <v>0.57220190147706229</v>
      </c>
      <c r="BC198" s="181">
        <f t="shared" si="251"/>
        <v>0.56411015741577053</v>
      </c>
      <c r="BD198" s="181"/>
      <c r="BE198" s="548">
        <f t="shared" si="252"/>
        <v>0.13069641104777865</v>
      </c>
      <c r="BF198" s="548">
        <f t="shared" si="253"/>
        <v>2.0746695451698514E-2</v>
      </c>
      <c r="BG198" s="548">
        <f t="shared" si="254"/>
        <v>8.0382392296390989E-4</v>
      </c>
      <c r="BH198" s="548">
        <f t="shared" si="255"/>
        <v>1.8305381719666751E-3</v>
      </c>
      <c r="BI198">
        <f t="shared" si="256"/>
        <v>2.0300000000000001E-3</v>
      </c>
      <c r="BJ198" s="474">
        <f t="shared" si="257"/>
        <v>156.10746859440778</v>
      </c>
      <c r="BK198" s="181">
        <f t="shared" si="258"/>
        <v>9.2399999999999996E-2</v>
      </c>
      <c r="BL198" s="181">
        <f t="shared" si="259"/>
        <v>9.2399999999999996E-2</v>
      </c>
      <c r="BM198" s="548"/>
      <c r="BO198" s="474">
        <f t="shared" si="260"/>
        <v>184.79999999999998</v>
      </c>
      <c r="BP198" s="548">
        <f t="shared" si="261"/>
        <v>0</v>
      </c>
      <c r="BQ198" s="548">
        <f t="shared" si="262"/>
        <v>0</v>
      </c>
      <c r="BR198" s="548">
        <f t="shared" si="263"/>
        <v>2.8639824272968083E-2</v>
      </c>
      <c r="BS198" s="548">
        <f t="shared" si="264"/>
        <v>4.1977570105927028E-3</v>
      </c>
      <c r="BT198" s="658">
        <f t="shared" si="301"/>
        <v>0.14196334303465616</v>
      </c>
      <c r="BU198" s="474">
        <f t="shared" si="308"/>
        <v>174.80092431821694</v>
      </c>
      <c r="BV198" s="181">
        <f t="shared" si="309"/>
        <v>0.51570839291262471</v>
      </c>
      <c r="BW198" s="6">
        <f t="shared" si="310"/>
        <v>3.7112703957010256</v>
      </c>
      <c r="BX198" s="181">
        <f t="shared" si="311"/>
        <v>0.87799598278046609</v>
      </c>
      <c r="BY198" s="6">
        <f t="shared" si="312"/>
        <v>87.799598278046602</v>
      </c>
      <c r="BZ198">
        <f t="shared" si="313"/>
        <v>88.000000000000014</v>
      </c>
      <c r="CB198" s="583">
        <f t="shared" si="302"/>
        <v>-50</v>
      </c>
      <c r="CC198">
        <f t="shared" si="303"/>
        <v>-50</v>
      </c>
    </row>
    <row r="199" spans="5:81" x14ac:dyDescent="0.2">
      <c r="E199" s="178">
        <v>89</v>
      </c>
      <c r="F199" s="225">
        <f t="shared" si="304"/>
        <v>0.26700000000000002</v>
      </c>
      <c r="G199" s="225">
        <f t="shared" si="271"/>
        <v>0.26700000000000002</v>
      </c>
      <c r="H199" s="225">
        <f t="shared" si="272"/>
        <v>4.0049999999999999</v>
      </c>
      <c r="I199" s="225">
        <f t="shared" si="273"/>
        <v>2.1360000000000001</v>
      </c>
      <c r="J199" s="561">
        <f t="shared" si="274"/>
        <v>7</v>
      </c>
      <c r="K199" s="456">
        <f t="shared" si="275"/>
        <v>7.8966382703106204</v>
      </c>
      <c r="L199" s="456">
        <f t="shared" si="276"/>
        <v>22.25</v>
      </c>
      <c r="M199" s="456"/>
      <c r="N199" s="225">
        <f t="shared" si="277"/>
        <v>0.6853932584269663</v>
      </c>
      <c r="O199" s="180">
        <f t="shared" si="278"/>
        <v>2.0416524181729359</v>
      </c>
      <c r="P199" s="180">
        <f t="shared" si="279"/>
        <v>1.6696179775280899</v>
      </c>
      <c r="Q199" s="225">
        <f t="shared" si="280"/>
        <v>0.13611016121152905</v>
      </c>
      <c r="R199" s="225">
        <f t="shared" si="281"/>
        <v>0.25520655227161698</v>
      </c>
      <c r="S199" s="225">
        <f t="shared" si="282"/>
        <v>7.6466382703106204</v>
      </c>
      <c r="T199" s="225">
        <f t="shared" si="283"/>
        <v>1.45</v>
      </c>
      <c r="U199" s="225">
        <f t="shared" si="284"/>
        <v>8.2857142857142847</v>
      </c>
      <c r="V199" s="225">
        <f t="shared" si="285"/>
        <v>7.3448976658922636</v>
      </c>
      <c r="W199" s="205">
        <f t="shared" si="286"/>
        <v>319.88510849609366</v>
      </c>
      <c r="X199" s="456">
        <f t="shared" si="287"/>
        <v>63.977021699218746</v>
      </c>
      <c r="Z199" s="225">
        <f t="shared" si="288"/>
        <v>0.29000000000000004</v>
      </c>
      <c r="AA199" s="181">
        <f t="shared" si="289"/>
        <v>1.4689795331784532</v>
      </c>
      <c r="AB199" s="181">
        <f t="shared" si="290"/>
        <v>4.4436637966730176E-2</v>
      </c>
      <c r="AC199" s="181"/>
      <c r="AD199" s="181">
        <f t="shared" si="291"/>
        <v>1.468979533178453</v>
      </c>
      <c r="AE199" s="565">
        <f t="shared" si="292"/>
        <v>1253.5091665713053</v>
      </c>
      <c r="AF199" s="548">
        <f t="shared" si="293"/>
        <v>6.8136178215652904E-2</v>
      </c>
      <c r="AH199" s="181">
        <f t="shared" si="294"/>
        <v>0.93663531552345081</v>
      </c>
      <c r="AI199" s="181">
        <f t="shared" si="295"/>
        <v>1.45</v>
      </c>
      <c r="AJ199" s="181">
        <f t="shared" si="296"/>
        <v>2.0592592592592593</v>
      </c>
      <c r="AL199" s="565">
        <f t="shared" si="297"/>
        <v>267</v>
      </c>
      <c r="AM199" s="474">
        <f t="shared" si="298"/>
        <v>63.977021699218746</v>
      </c>
      <c r="AO199" t="str">
        <f t="shared" si="299"/>
        <v/>
      </c>
      <c r="AP199" t="str">
        <f t="shared" si="300"/>
        <v/>
      </c>
      <c r="AR199" s="6">
        <f t="shared" si="314"/>
        <v>15.63061195160655</v>
      </c>
      <c r="AS199" s="6">
        <f t="shared" si="305"/>
        <v>8.2857142857142847</v>
      </c>
      <c r="AT199" s="6">
        <f t="shared" si="306"/>
        <v>7.3448976658922653</v>
      </c>
      <c r="AU199" s="181">
        <f t="shared" si="307"/>
        <v>0.5300953226506695</v>
      </c>
      <c r="AW199" s="6">
        <f t="shared" si="246"/>
        <v>14.748571428571429</v>
      </c>
      <c r="AX199" s="6">
        <f t="shared" si="247"/>
        <v>27.653571428571425</v>
      </c>
      <c r="AY199" s="6">
        <f t="shared" si="248"/>
        <v>7.7820939555287101</v>
      </c>
      <c r="AZ199" s="6"/>
      <c r="BA199" s="181">
        <f t="shared" si="249"/>
        <v>0.60951494810027218</v>
      </c>
      <c r="BB199" s="181">
        <f t="shared" si="250"/>
        <v>0.5738683310443744</v>
      </c>
      <c r="BC199" s="181">
        <f t="shared" si="251"/>
        <v>0.56575302131243377</v>
      </c>
      <c r="BD199" s="181"/>
      <c r="BE199" s="548">
        <f t="shared" si="252"/>
        <v>0.13002796518518711</v>
      </c>
      <c r="BF199" s="548">
        <f t="shared" si="253"/>
        <v>2.0640586625710444E-2</v>
      </c>
      <c r="BG199" s="548">
        <f t="shared" si="254"/>
        <v>7.9971277124023428E-4</v>
      </c>
      <c r="BH199" s="548">
        <f t="shared" si="255"/>
        <v>1.8211758975357449E-3</v>
      </c>
      <c r="BI199">
        <f t="shared" si="256"/>
        <v>2.0300000000000001E-3</v>
      </c>
      <c r="BJ199" s="474">
        <f t="shared" si="257"/>
        <v>155.31944047967355</v>
      </c>
      <c r="BK199" s="181">
        <f t="shared" si="258"/>
        <v>9.3450000000000005E-2</v>
      </c>
      <c r="BL199" s="181">
        <f t="shared" si="259"/>
        <v>9.3450000000000005E-2</v>
      </c>
      <c r="BM199" s="548"/>
      <c r="BO199" s="474">
        <f t="shared" si="260"/>
        <v>186.9</v>
      </c>
      <c r="BP199" s="548">
        <f t="shared" si="261"/>
        <v>0</v>
      </c>
      <c r="BQ199" s="548">
        <f t="shared" si="262"/>
        <v>0</v>
      </c>
      <c r="BR199" s="548">
        <f t="shared" si="263"/>
        <v>2.8806883301173244E-2</v>
      </c>
      <c r="BS199" s="548">
        <f t="shared" si="264"/>
        <v>4.1442892237507989E-3</v>
      </c>
      <c r="BT199" s="658">
        <f t="shared" si="301"/>
        <v>0.1412372725287378</v>
      </c>
      <c r="BU199" s="474">
        <f t="shared" si="308"/>
        <v>174.18844505366184</v>
      </c>
      <c r="BV199" s="181">
        <f t="shared" si="309"/>
        <v>0.51640788553333539</v>
      </c>
      <c r="BW199" s="6">
        <f t="shared" si="310"/>
        <v>3.7112703957010256</v>
      </c>
      <c r="BX199" s="181">
        <f t="shared" si="311"/>
        <v>0.87785071351679123</v>
      </c>
      <c r="BY199" s="6">
        <f t="shared" si="312"/>
        <v>87.785071351679122</v>
      </c>
      <c r="BZ199">
        <f t="shared" si="313"/>
        <v>89.000000000000014</v>
      </c>
      <c r="CB199" s="583">
        <f t="shared" si="302"/>
        <v>-50</v>
      </c>
      <c r="CC199">
        <f t="shared" si="303"/>
        <v>-50</v>
      </c>
    </row>
    <row r="200" spans="5:81" x14ac:dyDescent="0.2">
      <c r="E200" s="178">
        <v>90</v>
      </c>
      <c r="F200" s="225">
        <f t="shared" si="304"/>
        <v>0.27</v>
      </c>
      <c r="G200" s="225">
        <f t="shared" si="271"/>
        <v>0.27</v>
      </c>
      <c r="H200" s="225">
        <f t="shared" si="272"/>
        <v>4.0500000000000007</v>
      </c>
      <c r="I200" s="225">
        <f t="shared" si="273"/>
        <v>2.16</v>
      </c>
      <c r="J200" s="561">
        <f t="shared" si="274"/>
        <v>7</v>
      </c>
      <c r="K200" s="456">
        <f t="shared" si="275"/>
        <v>7.8116756228627251</v>
      </c>
      <c r="L200" s="456">
        <f t="shared" si="276"/>
        <v>22.25</v>
      </c>
      <c r="M200" s="456"/>
      <c r="N200" s="225">
        <f t="shared" si="277"/>
        <v>0.6853932584269663</v>
      </c>
      <c r="O200" s="180">
        <f t="shared" si="278"/>
        <v>2.0416524181729359</v>
      </c>
      <c r="P200" s="180">
        <f t="shared" si="279"/>
        <v>1.6696179775280899</v>
      </c>
      <c r="Q200" s="225">
        <f t="shared" si="280"/>
        <v>0.13611016121152905</v>
      </c>
      <c r="R200" s="225">
        <f t="shared" si="281"/>
        <v>0.25520655227161698</v>
      </c>
      <c r="S200" s="225">
        <f t="shared" si="282"/>
        <v>7.5616756228627251</v>
      </c>
      <c r="T200" s="225">
        <f t="shared" si="283"/>
        <v>1.45</v>
      </c>
      <c r="U200" s="225">
        <f t="shared" si="284"/>
        <v>8.2857142857142847</v>
      </c>
      <c r="V200" s="225">
        <f t="shared" si="285"/>
        <v>7.4247834651824522</v>
      </c>
      <c r="W200" s="205">
        <f t="shared" si="286"/>
        <v>318.25853510685914</v>
      </c>
      <c r="X200" s="456">
        <f t="shared" si="287"/>
        <v>63.65170702137182</v>
      </c>
      <c r="Z200" s="225">
        <f t="shared" si="288"/>
        <v>0.28999999999999992</v>
      </c>
      <c r="AA200" s="181">
        <f t="shared" si="289"/>
        <v>1.4849566930364904</v>
      </c>
      <c r="AB200" s="181">
        <f t="shared" si="290"/>
        <v>4.4691535150645618E-2</v>
      </c>
      <c r="AC200" s="181"/>
      <c r="AD200" s="181">
        <f t="shared" si="291"/>
        <v>1.4849566930364908</v>
      </c>
      <c r="AE200" s="565">
        <f t="shared" si="292"/>
        <v>1253.9550643120904</v>
      </c>
      <c r="AF200" s="548">
        <f t="shared" si="293"/>
        <v>6.8527020564323318E-2</v>
      </c>
      <c r="AH200" s="181">
        <f t="shared" si="294"/>
        <v>0.94188261325011047</v>
      </c>
      <c r="AI200" s="181">
        <f t="shared" si="295"/>
        <v>1.45</v>
      </c>
      <c r="AJ200" s="181">
        <f t="shared" si="296"/>
        <v>2.0592592592592593</v>
      </c>
      <c r="AL200" s="565">
        <f t="shared" si="297"/>
        <v>270</v>
      </c>
      <c r="AM200" s="474">
        <f t="shared" si="298"/>
        <v>63.65170702137182</v>
      </c>
      <c r="AO200" t="str">
        <f t="shared" si="299"/>
        <v/>
      </c>
      <c r="AP200" t="str">
        <f t="shared" si="300"/>
        <v/>
      </c>
      <c r="AR200" s="6">
        <f t="shared" si="314"/>
        <v>15.710497750896737</v>
      </c>
      <c r="AS200" s="6">
        <f t="shared" si="305"/>
        <v>8.2857142857142847</v>
      </c>
      <c r="AT200" s="6">
        <f t="shared" si="306"/>
        <v>7.4247834651824522</v>
      </c>
      <c r="AU200" s="181">
        <f t="shared" si="307"/>
        <v>0.52739985817708068</v>
      </c>
      <c r="AW200" s="6">
        <f t="shared" si="246"/>
        <v>14.914285714285713</v>
      </c>
      <c r="AX200" s="6">
        <f t="shared" si="247"/>
        <v>27.964285714285712</v>
      </c>
      <c r="AY200" s="6">
        <f t="shared" si="248"/>
        <v>7.9551251412669135</v>
      </c>
      <c r="AZ200" s="6"/>
      <c r="BA200" s="181">
        <f t="shared" si="249"/>
        <v>0.60796332176026102</v>
      </c>
      <c r="BB200" s="181">
        <f t="shared" si="250"/>
        <v>0.57551188756407334</v>
      </c>
      <c r="BC200" s="181">
        <f t="shared" si="251"/>
        <v>0.56737333561872272</v>
      </c>
      <c r="BD200" s="181"/>
      <c r="BE200" s="548">
        <f t="shared" si="252"/>
        <v>0.12936679021201974</v>
      </c>
      <c r="BF200" s="548">
        <f t="shared" si="253"/>
        <v>2.0535631977770082E-2</v>
      </c>
      <c r="BG200" s="548">
        <f t="shared" si="254"/>
        <v>7.956463377671477E-4</v>
      </c>
      <c r="BH200" s="548">
        <f t="shared" si="255"/>
        <v>1.8119154594179031E-3</v>
      </c>
      <c r="BI200">
        <f t="shared" si="256"/>
        <v>2.0300000000000001E-3</v>
      </c>
      <c r="BJ200" s="474">
        <f t="shared" si="257"/>
        <v>154.53998398697487</v>
      </c>
      <c r="BK200" s="181">
        <f t="shared" si="258"/>
        <v>9.4500000000000001E-2</v>
      </c>
      <c r="BL200" s="181">
        <f t="shared" si="259"/>
        <v>9.4500000000000001E-2</v>
      </c>
      <c r="BM200" s="548"/>
      <c r="BO200" s="474">
        <f t="shared" si="260"/>
        <v>189</v>
      </c>
      <c r="BP200" s="548">
        <f t="shared" si="261"/>
        <v>0</v>
      </c>
      <c r="BQ200" s="548">
        <f t="shared" si="262"/>
        <v>0</v>
      </c>
      <c r="BR200" s="548">
        <f t="shared" si="263"/>
        <v>2.8972125177400419E-2</v>
      </c>
      <c r="BS200" s="548">
        <f t="shared" si="264"/>
        <v>4.0918070636870594E-3</v>
      </c>
      <c r="BT200" s="658">
        <f t="shared" si="301"/>
        <v>0.14051909971305598</v>
      </c>
      <c r="BU200" s="474">
        <f t="shared" si="308"/>
        <v>173.58303195414345</v>
      </c>
      <c r="BV200" s="181">
        <f t="shared" si="309"/>
        <v>0.51712301594111842</v>
      </c>
      <c r="BW200" s="6">
        <f t="shared" si="310"/>
        <v>3.7112703957010256</v>
      </c>
      <c r="BX200" s="181">
        <f t="shared" si="311"/>
        <v>0.87770224631480354</v>
      </c>
      <c r="BY200" s="6">
        <f t="shared" si="312"/>
        <v>87.77022463148036</v>
      </c>
      <c r="BZ200">
        <f t="shared" si="313"/>
        <v>90.000000000000014</v>
      </c>
      <c r="CB200" s="583">
        <f t="shared" si="302"/>
        <v>-50</v>
      </c>
      <c r="CC200">
        <f t="shared" si="303"/>
        <v>-50</v>
      </c>
    </row>
    <row r="201" spans="5:81" x14ac:dyDescent="0.2">
      <c r="E201" s="178">
        <v>91</v>
      </c>
      <c r="F201" s="225">
        <f t="shared" si="304"/>
        <v>0.27300000000000002</v>
      </c>
      <c r="G201" s="225">
        <f t="shared" si="271"/>
        <v>0.27300000000000002</v>
      </c>
      <c r="H201" s="225">
        <f t="shared" si="272"/>
        <v>4.0950000000000006</v>
      </c>
      <c r="I201" s="225">
        <f t="shared" si="273"/>
        <v>2.1840000000000002</v>
      </c>
      <c r="J201" s="561">
        <f t="shared" si="274"/>
        <v>7</v>
      </c>
      <c r="K201" s="456">
        <f t="shared" si="275"/>
        <v>7.72858028634775</v>
      </c>
      <c r="L201" s="456">
        <f t="shared" si="276"/>
        <v>22.25</v>
      </c>
      <c r="M201" s="456"/>
      <c r="N201" s="225">
        <f t="shared" si="277"/>
        <v>0.6853932584269663</v>
      </c>
      <c r="O201" s="180">
        <f t="shared" si="278"/>
        <v>2.0416524181729359</v>
      </c>
      <c r="P201" s="180">
        <f t="shared" si="279"/>
        <v>1.6696179775280899</v>
      </c>
      <c r="Q201" s="225">
        <f t="shared" si="280"/>
        <v>0.13611016121152905</v>
      </c>
      <c r="R201" s="225">
        <f t="shared" si="281"/>
        <v>0.25520655227161698</v>
      </c>
      <c r="S201" s="225">
        <f t="shared" si="282"/>
        <v>7.47858028634775</v>
      </c>
      <c r="T201" s="225">
        <f t="shared" si="283"/>
        <v>1.45</v>
      </c>
      <c r="U201" s="225">
        <f t="shared" si="284"/>
        <v>8.2857142857142847</v>
      </c>
      <c r="V201" s="225">
        <f t="shared" si="285"/>
        <v>7.5046124709935214</v>
      </c>
      <c r="W201" s="205">
        <f t="shared" si="286"/>
        <v>316.64955874810988</v>
      </c>
      <c r="X201" s="456">
        <f t="shared" si="287"/>
        <v>63.329911749621978</v>
      </c>
      <c r="Z201" s="225">
        <f t="shared" si="288"/>
        <v>0.28999999999999998</v>
      </c>
      <c r="AA201" s="181">
        <f t="shared" si="289"/>
        <v>1.500922494198704</v>
      </c>
      <c r="AB201" s="181">
        <f t="shared" si="290"/>
        <v>4.4943674737796195E-2</v>
      </c>
      <c r="AC201" s="181"/>
      <c r="AD201" s="181">
        <f t="shared" si="291"/>
        <v>1.500922494198704</v>
      </c>
      <c r="AE201" s="565">
        <f t="shared" si="292"/>
        <v>1254.4009620528752</v>
      </c>
      <c r="AF201" s="548">
        <f t="shared" si="293"/>
        <v>6.891363459795416E-2</v>
      </c>
      <c r="AH201" s="181">
        <f t="shared" si="294"/>
        <v>0.94710083940412593</v>
      </c>
      <c r="AI201" s="181">
        <f t="shared" si="295"/>
        <v>1.45</v>
      </c>
      <c r="AJ201" s="181">
        <f t="shared" si="296"/>
        <v>2.0592592592592593</v>
      </c>
      <c r="AL201" s="565">
        <f t="shared" si="297"/>
        <v>273</v>
      </c>
      <c r="AM201" s="474">
        <f t="shared" si="298"/>
        <v>63.329911749621978</v>
      </c>
      <c r="AO201" t="str">
        <f t="shared" si="299"/>
        <v/>
      </c>
      <c r="AP201" t="str">
        <f t="shared" si="300"/>
        <v/>
      </c>
      <c r="AR201" s="6">
        <f t="shared" si="314"/>
        <v>15.790326756707808</v>
      </c>
      <c r="AS201" s="6">
        <f t="shared" si="305"/>
        <v>8.2857142857142847</v>
      </c>
      <c r="AT201" s="6">
        <f t="shared" si="306"/>
        <v>7.5046124709935231</v>
      </c>
      <c r="AU201" s="181">
        <f t="shared" si="307"/>
        <v>0.52473355449686765</v>
      </c>
      <c r="AW201" s="6">
        <f t="shared" si="246"/>
        <v>15.08</v>
      </c>
      <c r="AX201" s="6">
        <f t="shared" si="247"/>
        <v>28.275000000000002</v>
      </c>
      <c r="AY201" s="6">
        <f t="shared" si="248"/>
        <v>8.1299968435763166</v>
      </c>
      <c r="AZ201" s="6"/>
      <c r="BA201" s="181">
        <f t="shared" si="249"/>
        <v>0.60642457577994646</v>
      </c>
      <c r="BB201" s="181">
        <f t="shared" si="250"/>
        <v>0.57713305850856023</v>
      </c>
      <c r="BC201" s="181">
        <f t="shared" si="251"/>
        <v>0.56897158091348965</v>
      </c>
      <c r="BD201" s="181"/>
      <c r="BE201" s="548">
        <f t="shared" si="252"/>
        <v>0.1287127681384608</v>
      </c>
      <c r="BF201" s="548">
        <f t="shared" si="253"/>
        <v>2.043181277822179E-2</v>
      </c>
      <c r="BG201" s="548">
        <f t="shared" si="254"/>
        <v>7.9162389687027475E-4</v>
      </c>
      <c r="BH201" s="548">
        <f t="shared" si="255"/>
        <v>1.8027552050439656E-3</v>
      </c>
      <c r="BI201">
        <f t="shared" si="256"/>
        <v>2.0300000000000001E-3</v>
      </c>
      <c r="BJ201" s="474">
        <f t="shared" si="257"/>
        <v>153.76896001859683</v>
      </c>
      <c r="BK201" s="181">
        <f t="shared" si="258"/>
        <v>9.5549999999999996E-2</v>
      </c>
      <c r="BL201" s="181">
        <f t="shared" si="259"/>
        <v>9.5549999999999996E-2</v>
      </c>
      <c r="BM201" s="548"/>
      <c r="BO201" s="474">
        <f t="shared" si="260"/>
        <v>191.1</v>
      </c>
      <c r="BP201" s="548">
        <f t="shared" si="261"/>
        <v>0</v>
      </c>
      <c r="BQ201" s="548">
        <f t="shared" si="262"/>
        <v>0</v>
      </c>
      <c r="BR201" s="548">
        <f t="shared" si="263"/>
        <v>2.9135579389847611E-2</v>
      </c>
      <c r="BS201" s="548">
        <f t="shared" si="264"/>
        <v>4.0402870083179982E-3</v>
      </c>
      <c r="BT201" s="658">
        <f t="shared" si="301"/>
        <v>0.13980869642625923</v>
      </c>
      <c r="BU201" s="474">
        <f t="shared" si="308"/>
        <v>172.98456282442484</v>
      </c>
      <c r="BV201" s="181">
        <f t="shared" si="309"/>
        <v>0.51785352284302166</v>
      </c>
      <c r="BW201" s="6">
        <f t="shared" si="310"/>
        <v>3.7112703957010256</v>
      </c>
      <c r="BX201" s="181">
        <f t="shared" si="311"/>
        <v>0.87755063866246263</v>
      </c>
      <c r="BY201" s="6">
        <f t="shared" si="312"/>
        <v>87.75506386624626</v>
      </c>
      <c r="BZ201">
        <f t="shared" si="313"/>
        <v>91.000000000000014</v>
      </c>
      <c r="CB201" s="583">
        <f t="shared" si="302"/>
        <v>-50</v>
      </c>
      <c r="CC201">
        <f t="shared" si="303"/>
        <v>-50</v>
      </c>
    </row>
    <row r="202" spans="5:81" x14ac:dyDescent="0.2">
      <c r="E202" s="178">
        <v>92</v>
      </c>
      <c r="F202" s="225">
        <f t="shared" si="304"/>
        <v>0.27600000000000002</v>
      </c>
      <c r="G202" s="225">
        <f t="shared" si="271"/>
        <v>0.27600000000000002</v>
      </c>
      <c r="H202" s="225">
        <f t="shared" si="272"/>
        <v>4.1400000000000006</v>
      </c>
      <c r="I202" s="225">
        <f t="shared" si="273"/>
        <v>2.2080000000000002</v>
      </c>
      <c r="J202" s="561">
        <f t="shared" si="274"/>
        <v>7</v>
      </c>
      <c r="K202" s="456">
        <f t="shared" si="275"/>
        <v>7.6472913701917964</v>
      </c>
      <c r="L202" s="456">
        <f t="shared" si="276"/>
        <v>22.25</v>
      </c>
      <c r="M202" s="456"/>
      <c r="N202" s="225">
        <f t="shared" si="277"/>
        <v>0.6853932584269663</v>
      </c>
      <c r="O202" s="180">
        <f t="shared" si="278"/>
        <v>2.0416524181729359</v>
      </c>
      <c r="P202" s="180">
        <f t="shared" si="279"/>
        <v>1.6696179775280899</v>
      </c>
      <c r="Q202" s="225">
        <f t="shared" si="280"/>
        <v>0.13611016121152905</v>
      </c>
      <c r="R202" s="225">
        <f t="shared" si="281"/>
        <v>0.25520655227161698</v>
      </c>
      <c r="S202" s="225">
        <f t="shared" si="282"/>
        <v>7.3972913701917964</v>
      </c>
      <c r="T202" s="225">
        <f t="shared" si="283"/>
        <v>1.45</v>
      </c>
      <c r="U202" s="225">
        <f t="shared" si="284"/>
        <v>8.2857142857142847</v>
      </c>
      <c r="V202" s="225">
        <f t="shared" si="285"/>
        <v>7.5843847438685135</v>
      </c>
      <c r="W202" s="205">
        <f t="shared" si="286"/>
        <v>315.05789539685327</v>
      </c>
      <c r="X202" s="456">
        <f t="shared" si="287"/>
        <v>63.011579079370662</v>
      </c>
      <c r="Z202" s="225">
        <f t="shared" si="288"/>
        <v>0.28999999999999998</v>
      </c>
      <c r="AA202" s="181">
        <f t="shared" si="289"/>
        <v>1.5168769487737028</v>
      </c>
      <c r="AB202" s="181">
        <f t="shared" si="290"/>
        <v>4.5193101236878211E-2</v>
      </c>
      <c r="AC202" s="181"/>
      <c r="AD202" s="181">
        <f t="shared" si="291"/>
        <v>1.5168769487737028</v>
      </c>
      <c r="AE202" s="565">
        <f t="shared" si="292"/>
        <v>1254.8468597936599</v>
      </c>
      <c r="AF202" s="548">
        <f t="shared" si="293"/>
        <v>6.9296088563213259E-2</v>
      </c>
      <c r="AH202" s="181">
        <f t="shared" si="294"/>
        <v>0.95229047189244875</v>
      </c>
      <c r="AI202" s="181">
        <f t="shared" si="295"/>
        <v>1.45</v>
      </c>
      <c r="AJ202" s="181">
        <f t="shared" si="296"/>
        <v>2.0592592592592593</v>
      </c>
      <c r="AL202" s="565">
        <f t="shared" si="297"/>
        <v>276</v>
      </c>
      <c r="AM202" s="474">
        <f t="shared" si="298"/>
        <v>63.011579079370662</v>
      </c>
      <c r="AO202" t="str">
        <f t="shared" si="299"/>
        <v/>
      </c>
      <c r="AP202" t="str">
        <f t="shared" si="300"/>
        <v/>
      </c>
      <c r="AR202" s="6">
        <f t="shared" si="314"/>
        <v>15.870099029582796</v>
      </c>
      <c r="AS202" s="6">
        <f t="shared" si="305"/>
        <v>8.2857142857142847</v>
      </c>
      <c r="AT202" s="6">
        <f t="shared" si="306"/>
        <v>7.5843847438685117</v>
      </c>
      <c r="AU202" s="181">
        <f t="shared" si="307"/>
        <v>0.52209594094335687</v>
      </c>
      <c r="AW202" s="6">
        <f t="shared" si="246"/>
        <v>15.245714285714286</v>
      </c>
      <c r="AX202" s="6">
        <f t="shared" si="247"/>
        <v>28.585714285714289</v>
      </c>
      <c r="AY202" s="6">
        <f t="shared" si="248"/>
        <v>8.3067071004274187</v>
      </c>
      <c r="AZ202" s="6"/>
      <c r="BA202" s="181">
        <f t="shared" si="249"/>
        <v>0.60489853579847253</v>
      </c>
      <c r="BB202" s="181">
        <f t="shared" si="250"/>
        <v>0.57873231698445649</v>
      </c>
      <c r="BC202" s="181">
        <f t="shared" si="251"/>
        <v>0.57054822361295909</v>
      </c>
      <c r="BD202" s="181"/>
      <c r="BE202" s="548">
        <f t="shared" si="252"/>
        <v>0.12806578351389758</v>
      </c>
      <c r="BF202" s="548">
        <f t="shared" si="253"/>
        <v>2.0329110700481958E-2</v>
      </c>
      <c r="BG202" s="548">
        <f t="shared" si="254"/>
        <v>7.8764473849213322E-4</v>
      </c>
      <c r="BH202" s="548">
        <f t="shared" si="255"/>
        <v>1.7936935174089038E-3</v>
      </c>
      <c r="BI202">
        <f t="shared" si="256"/>
        <v>2.0300000000000001E-3</v>
      </c>
      <c r="BJ202" s="474">
        <f t="shared" si="257"/>
        <v>153.00623247028059</v>
      </c>
      <c r="BK202" s="181">
        <f t="shared" si="258"/>
        <v>9.6600000000000005E-2</v>
      </c>
      <c r="BL202" s="181">
        <f t="shared" si="259"/>
        <v>9.6600000000000005E-2</v>
      </c>
      <c r="BM202" s="548"/>
      <c r="BO202" s="474">
        <f t="shared" si="260"/>
        <v>193.20000000000002</v>
      </c>
      <c r="BP202" s="548">
        <f t="shared" si="261"/>
        <v>0</v>
      </c>
      <c r="BQ202" s="548">
        <f t="shared" si="262"/>
        <v>0</v>
      </c>
      <c r="BR202" s="548">
        <f t="shared" si="263"/>
        <v>2.9297274792111284E-2</v>
      </c>
      <c r="BS202" s="548">
        <f t="shared" si="264"/>
        <v>3.9897062218418444E-3</v>
      </c>
      <c r="BT202" s="658">
        <f t="shared" si="301"/>
        <v>0.13910593726509568</v>
      </c>
      <c r="BU202" s="474">
        <f t="shared" si="308"/>
        <v>172.39291827904881</v>
      </c>
      <c r="BV202" s="181">
        <f t="shared" si="309"/>
        <v>0.5185991507493295</v>
      </c>
      <c r="BW202" s="6">
        <f t="shared" si="310"/>
        <v>3.7112703957010256</v>
      </c>
      <c r="BX202" s="181">
        <f t="shared" si="311"/>
        <v>0.87739594683610744</v>
      </c>
      <c r="BY202" s="6">
        <f t="shared" si="312"/>
        <v>87.739594683610747</v>
      </c>
      <c r="BZ202">
        <f t="shared" si="313"/>
        <v>92.000000000000014</v>
      </c>
      <c r="CB202" s="583">
        <f t="shared" si="302"/>
        <v>-50</v>
      </c>
      <c r="CC202">
        <f t="shared" si="303"/>
        <v>-50</v>
      </c>
    </row>
    <row r="203" spans="5:81" x14ac:dyDescent="0.2">
      <c r="E203" s="178">
        <v>93</v>
      </c>
      <c r="F203" s="225">
        <f t="shared" si="304"/>
        <v>0.27900000000000003</v>
      </c>
      <c r="G203" s="225">
        <f t="shared" si="271"/>
        <v>0.27900000000000003</v>
      </c>
      <c r="H203" s="225">
        <f t="shared" si="272"/>
        <v>4.1850000000000005</v>
      </c>
      <c r="I203" s="225">
        <f t="shared" si="273"/>
        <v>2.2320000000000002</v>
      </c>
      <c r="J203" s="561">
        <f t="shared" si="274"/>
        <v>7</v>
      </c>
      <c r="K203" s="456">
        <f t="shared" si="275"/>
        <v>7.5677506027703787</v>
      </c>
      <c r="L203" s="456">
        <f t="shared" si="276"/>
        <v>22.25</v>
      </c>
      <c r="M203" s="456"/>
      <c r="N203" s="225">
        <f t="shared" si="277"/>
        <v>0.6853932584269663</v>
      </c>
      <c r="O203" s="180">
        <f t="shared" si="278"/>
        <v>2.0416524181729359</v>
      </c>
      <c r="P203" s="180">
        <f t="shared" si="279"/>
        <v>1.6696179775280899</v>
      </c>
      <c r="Q203" s="225">
        <f t="shared" si="280"/>
        <v>0.13611016121152905</v>
      </c>
      <c r="R203" s="225">
        <f t="shared" si="281"/>
        <v>0.25520655227161698</v>
      </c>
      <c r="S203" s="225">
        <f t="shared" si="282"/>
        <v>7.3177506027703787</v>
      </c>
      <c r="T203" s="225">
        <f t="shared" si="283"/>
        <v>1.45</v>
      </c>
      <c r="U203" s="225">
        <f t="shared" si="284"/>
        <v>8.2857142857142847</v>
      </c>
      <c r="V203" s="225">
        <f t="shared" si="285"/>
        <v>7.6641003442644564</v>
      </c>
      <c r="W203" s="205">
        <f t="shared" si="286"/>
        <v>313.48326710971088</v>
      </c>
      <c r="X203" s="456">
        <f t="shared" si="287"/>
        <v>62.69665342194218</v>
      </c>
      <c r="Z203" s="225">
        <f t="shared" si="288"/>
        <v>0.28999999999999998</v>
      </c>
      <c r="AA203" s="181">
        <f t="shared" si="289"/>
        <v>1.5328200688528912</v>
      </c>
      <c r="AB203" s="181">
        <f t="shared" si="290"/>
        <v>4.5439858203863315E-2</v>
      </c>
      <c r="AC203" s="181"/>
      <c r="AD203" s="181">
        <f t="shared" si="291"/>
        <v>1.5328200688528912</v>
      </c>
      <c r="AE203" s="565">
        <f t="shared" si="292"/>
        <v>1255.2927575344445</v>
      </c>
      <c r="AF203" s="548">
        <f t="shared" si="293"/>
        <v>6.9674449245923753E-2</v>
      </c>
      <c r="AH203" s="181">
        <f t="shared" si="294"/>
        <v>0.95745197566994744</v>
      </c>
      <c r="AI203" s="181">
        <f t="shared" si="295"/>
        <v>1.45</v>
      </c>
      <c r="AJ203" s="181">
        <f t="shared" si="296"/>
        <v>2.0592592592592593</v>
      </c>
      <c r="AL203" s="565">
        <f t="shared" si="297"/>
        <v>279</v>
      </c>
      <c r="AM203" s="474">
        <f t="shared" si="298"/>
        <v>62.69665342194218</v>
      </c>
      <c r="AO203" t="str">
        <f t="shared" si="299"/>
        <v/>
      </c>
      <c r="AP203" t="str">
        <f t="shared" si="300"/>
        <v/>
      </c>
      <c r="AR203" s="6">
        <f t="shared" si="314"/>
        <v>15.949814629978739</v>
      </c>
      <c r="AS203" s="6">
        <f t="shared" si="305"/>
        <v>8.2857142857142847</v>
      </c>
      <c r="AT203" s="6">
        <f t="shared" si="306"/>
        <v>7.6641003442644546</v>
      </c>
      <c r="AU203" s="181">
        <f t="shared" si="307"/>
        <v>0.51948655692466372</v>
      </c>
      <c r="AW203" s="6">
        <f t="shared" si="246"/>
        <v>15.411428571428573</v>
      </c>
      <c r="AX203" s="6">
        <f t="shared" si="247"/>
        <v>28.896428571428572</v>
      </c>
      <c r="AY203" s="6">
        <f t="shared" si="248"/>
        <v>8.4852539525785033</v>
      </c>
      <c r="AZ203" s="6"/>
      <c r="BA203" s="181">
        <f t="shared" si="249"/>
        <v>0.60338503073192695</v>
      </c>
      <c r="BB203" s="181">
        <f t="shared" si="250"/>
        <v>0.58031012228115131</v>
      </c>
      <c r="BC203" s="181">
        <f t="shared" si="251"/>
        <v>0.57210371651151892</v>
      </c>
      <c r="BD203" s="181"/>
      <c r="BE203" s="548">
        <f t="shared" si="252"/>
        <v>0.12742572335897895</v>
      </c>
      <c r="BF203" s="548">
        <f t="shared" si="253"/>
        <v>2.0227507810254095E-2</v>
      </c>
      <c r="BG203" s="548">
        <f t="shared" si="254"/>
        <v>7.8370816777427726E-4</v>
      </c>
      <c r="BH203" s="548">
        <f t="shared" si="255"/>
        <v>1.7847288141202642E-3</v>
      </c>
      <c r="BI203">
        <f t="shared" si="256"/>
        <v>2.0300000000000001E-3</v>
      </c>
      <c r="BJ203" s="474">
        <f t="shared" si="257"/>
        <v>152.2516681511276</v>
      </c>
      <c r="BK203" s="181">
        <f t="shared" si="258"/>
        <v>9.7650000000000001E-2</v>
      </c>
      <c r="BL203" s="181">
        <f t="shared" si="259"/>
        <v>9.7650000000000001E-2</v>
      </c>
      <c r="BM203" s="548"/>
      <c r="BO203" s="474">
        <f t="shared" si="260"/>
        <v>195.3</v>
      </c>
      <c r="BP203" s="548">
        <f t="shared" si="261"/>
        <v>0</v>
      </c>
      <c r="BQ203" s="548">
        <f t="shared" si="262"/>
        <v>0</v>
      </c>
      <c r="BR203" s="548">
        <f t="shared" si="263"/>
        <v>2.9457239620166317E-2</v>
      </c>
      <c r="BS203" s="548">
        <f t="shared" si="264"/>
        <v>3.9400425311290777E-3</v>
      </c>
      <c r="BT203" s="658">
        <f t="shared" si="301"/>
        <v>0.13841069951061513</v>
      </c>
      <c r="BU203" s="474">
        <f t="shared" si="308"/>
        <v>171.80798166191053</v>
      </c>
      <c r="BV203" s="181">
        <f t="shared" si="309"/>
        <v>0.51935964981303817</v>
      </c>
      <c r="BW203" s="6">
        <f t="shared" si="310"/>
        <v>3.7112703957010256</v>
      </c>
      <c r="BX203" s="181">
        <f t="shared" si="311"/>
        <v>0.8772382259319178</v>
      </c>
      <c r="BY203" s="6">
        <f t="shared" si="312"/>
        <v>87.723822593191784</v>
      </c>
      <c r="BZ203">
        <f t="shared" si="313"/>
        <v>93.000000000000014</v>
      </c>
      <c r="CB203" s="583">
        <f t="shared" si="302"/>
        <v>-50</v>
      </c>
      <c r="CC203">
        <f t="shared" si="303"/>
        <v>-50</v>
      </c>
    </row>
    <row r="204" spans="5:81" x14ac:dyDescent="0.2">
      <c r="E204" s="178">
        <v>94</v>
      </c>
      <c r="F204" s="225">
        <f t="shared" si="304"/>
        <v>0.28199999999999997</v>
      </c>
      <c r="G204" s="225">
        <f t="shared" si="271"/>
        <v>0.28199999999999997</v>
      </c>
      <c r="H204" s="225">
        <f t="shared" si="272"/>
        <v>4.2299999999999995</v>
      </c>
      <c r="I204" s="225">
        <f t="shared" si="273"/>
        <v>2.2559999999999998</v>
      </c>
      <c r="J204" s="561">
        <f t="shared" si="274"/>
        <v>7</v>
      </c>
      <c r="K204" s="456">
        <f t="shared" si="275"/>
        <v>7.4899021921026101</v>
      </c>
      <c r="L204" s="456">
        <f t="shared" si="276"/>
        <v>22.25</v>
      </c>
      <c r="M204" s="456"/>
      <c r="N204" s="225">
        <f t="shared" si="277"/>
        <v>0.6853932584269663</v>
      </c>
      <c r="O204" s="180">
        <f t="shared" si="278"/>
        <v>2.0416524181729359</v>
      </c>
      <c r="P204" s="180">
        <f t="shared" si="279"/>
        <v>1.6696179775280899</v>
      </c>
      <c r="Q204" s="225">
        <f t="shared" si="280"/>
        <v>0.13611016121152905</v>
      </c>
      <c r="R204" s="225">
        <f t="shared" si="281"/>
        <v>0.25520655227161698</v>
      </c>
      <c r="S204" s="225">
        <f t="shared" si="282"/>
        <v>7.2399021921026101</v>
      </c>
      <c r="T204" s="225">
        <f t="shared" si="283"/>
        <v>1.45</v>
      </c>
      <c r="U204" s="225">
        <f t="shared" si="284"/>
        <v>8.2857142857142847</v>
      </c>
      <c r="V204" s="225">
        <f t="shared" si="285"/>
        <v>7.7437593325524974</v>
      </c>
      <c r="W204" s="205">
        <f t="shared" si="286"/>
        <v>311.92540186111449</v>
      </c>
      <c r="X204" s="456">
        <f t="shared" si="287"/>
        <v>62.385080372222916</v>
      </c>
      <c r="Z204" s="225">
        <f t="shared" si="288"/>
        <v>0.28999999999999998</v>
      </c>
      <c r="AA204" s="181">
        <f t="shared" si="289"/>
        <v>1.5487518665104998</v>
      </c>
      <c r="AB204" s="181">
        <f t="shared" si="290"/>
        <v>4.5683988267354536E-2</v>
      </c>
      <c r="AC204" s="181"/>
      <c r="AD204" s="181">
        <f t="shared" si="291"/>
        <v>1.5487518665104998</v>
      </c>
      <c r="AE204" s="565">
        <f t="shared" si="292"/>
        <v>1255.7386552752293</v>
      </c>
      <c r="AF204" s="548">
        <f t="shared" si="293"/>
        <v>7.0048782009943619E-2</v>
      </c>
      <c r="AH204" s="181">
        <f t="shared" si="294"/>
        <v>0.96258580322557652</v>
      </c>
      <c r="AI204" s="181">
        <f t="shared" si="295"/>
        <v>1.45</v>
      </c>
      <c r="AJ204" s="181">
        <f t="shared" si="296"/>
        <v>2.0592592592592593</v>
      </c>
      <c r="AL204" s="565">
        <f t="shared" si="297"/>
        <v>282</v>
      </c>
      <c r="AM204" s="474">
        <f t="shared" si="298"/>
        <v>62.385080372222916</v>
      </c>
      <c r="AO204" t="str">
        <f t="shared" si="299"/>
        <v/>
      </c>
      <c r="AP204" t="str">
        <f t="shared" si="300"/>
        <v/>
      </c>
      <c r="AR204" s="6">
        <f t="shared" si="314"/>
        <v>16.029473618266781</v>
      </c>
      <c r="AS204" s="6">
        <f t="shared" si="305"/>
        <v>8.2857142857142847</v>
      </c>
      <c r="AT204" s="6">
        <f t="shared" si="306"/>
        <v>7.7437593325524965</v>
      </c>
      <c r="AU204" s="181">
        <f t="shared" si="307"/>
        <v>0.51690495165556127</v>
      </c>
      <c r="AW204" s="6">
        <f t="shared" si="246"/>
        <v>15.577142857142851</v>
      </c>
      <c r="AX204" s="6">
        <f t="shared" si="247"/>
        <v>29.207142857142848</v>
      </c>
      <c r="AY204" s="6">
        <f t="shared" si="248"/>
        <v>8.6656354435706486</v>
      </c>
      <c r="AZ204" s="6"/>
      <c r="BA204" s="181">
        <f t="shared" si="249"/>
        <v>0.60188389269465625</v>
      </c>
      <c r="BB204" s="181">
        <f t="shared" si="250"/>
        <v>0.58186692039336696</v>
      </c>
      <c r="BC204" s="181">
        <f t="shared" si="251"/>
        <v>0.57363849929689503</v>
      </c>
      <c r="BD204" s="181"/>
      <c r="BE204" s="548">
        <f t="shared" si="252"/>
        <v>0.12679247709984537</v>
      </c>
      <c r="BF204" s="548">
        <f t="shared" si="253"/>
        <v>2.0126986555088416E-2</v>
      </c>
      <c r="BG204" s="548">
        <f t="shared" si="254"/>
        <v>7.7981350465278633E-4</v>
      </c>
      <c r="BH204" s="548">
        <f t="shared" si="255"/>
        <v>1.7758595464769822E-3</v>
      </c>
      <c r="BI204">
        <f t="shared" si="256"/>
        <v>2.0300000000000001E-3</v>
      </c>
      <c r="BJ204" s="474">
        <f t="shared" si="257"/>
        <v>151.50513670606355</v>
      </c>
      <c r="BK204" s="181">
        <f t="shared" si="258"/>
        <v>9.8699999999999982E-2</v>
      </c>
      <c r="BL204" s="181">
        <f t="shared" si="259"/>
        <v>9.8699999999999982E-2</v>
      </c>
      <c r="BM204" s="548"/>
      <c r="BO204" s="474">
        <f t="shared" si="260"/>
        <v>197.39999999999998</v>
      </c>
      <c r="BP204" s="548">
        <f t="shared" si="261"/>
        <v>0</v>
      </c>
      <c r="BQ204" s="548">
        <f t="shared" si="262"/>
        <v>0</v>
      </c>
      <c r="BR204" s="548">
        <f t="shared" si="263"/>
        <v>2.9615501508803443E-2</v>
      </c>
      <c r="BS204" s="548">
        <f t="shared" si="264"/>
        <v>3.8912744030469635E-3</v>
      </c>
      <c r="BT204" s="658">
        <f t="shared" si="301"/>
        <v>0.13772286305672862</v>
      </c>
      <c r="BU204" s="474">
        <f t="shared" si="308"/>
        <v>171.22963896857902</v>
      </c>
      <c r="BV204" s="181">
        <f t="shared" si="309"/>
        <v>0.5201347756746425</v>
      </c>
      <c r="BW204" s="6">
        <f t="shared" si="310"/>
        <v>3.7112703957010256</v>
      </c>
      <c r="BX204" s="181">
        <f t="shared" si="311"/>
        <v>0.87707752989640042</v>
      </c>
      <c r="BY204" s="6">
        <f t="shared" si="312"/>
        <v>87.707752989640042</v>
      </c>
      <c r="BZ204">
        <f t="shared" si="313"/>
        <v>94</v>
      </c>
      <c r="CB204" s="583">
        <f t="shared" si="302"/>
        <v>-50</v>
      </c>
      <c r="CC204">
        <f t="shared" si="303"/>
        <v>-50</v>
      </c>
    </row>
    <row r="205" spans="5:81" x14ac:dyDescent="0.2">
      <c r="E205" s="178">
        <v>95</v>
      </c>
      <c r="F205" s="225">
        <f t="shared" si="304"/>
        <v>0.28499999999999998</v>
      </c>
      <c r="G205" s="225">
        <f t="shared" si="271"/>
        <v>0.28499999999999998</v>
      </c>
      <c r="H205" s="225">
        <f t="shared" si="272"/>
        <v>4.2749999999999995</v>
      </c>
      <c r="I205" s="225">
        <f t="shared" si="273"/>
        <v>2.2799999999999998</v>
      </c>
      <c r="J205" s="561">
        <f t="shared" si="274"/>
        <v>7</v>
      </c>
      <c r="K205" s="456">
        <f t="shared" si="275"/>
        <v>7.4136926953436353</v>
      </c>
      <c r="L205" s="456">
        <f t="shared" si="276"/>
        <v>22.25</v>
      </c>
      <c r="M205" s="456"/>
      <c r="N205" s="225">
        <f t="shared" si="277"/>
        <v>0.6853932584269663</v>
      </c>
      <c r="O205" s="180">
        <f t="shared" si="278"/>
        <v>2.0416524181729359</v>
      </c>
      <c r="P205" s="180">
        <f t="shared" si="279"/>
        <v>1.6696179775280899</v>
      </c>
      <c r="Q205" s="225">
        <f t="shared" si="280"/>
        <v>0.13611016121152905</v>
      </c>
      <c r="R205" s="225">
        <f t="shared" si="281"/>
        <v>0.25520655227161698</v>
      </c>
      <c r="S205" s="225">
        <f t="shared" si="282"/>
        <v>7.1636926953436353</v>
      </c>
      <c r="T205" s="225">
        <f t="shared" si="283"/>
        <v>1.45</v>
      </c>
      <c r="U205" s="225">
        <f t="shared" si="284"/>
        <v>8.2857142857142847</v>
      </c>
      <c r="V205" s="225">
        <f t="shared" si="285"/>
        <v>7.8233617690180806</v>
      </c>
      <c r="W205" s="205">
        <f t="shared" si="286"/>
        <v>310.38403338664159</v>
      </c>
      <c r="X205" s="456">
        <f t="shared" si="287"/>
        <v>62.076806677328321</v>
      </c>
      <c r="Z205" s="225">
        <f t="shared" si="288"/>
        <v>0.29000000000000004</v>
      </c>
      <c r="AA205" s="181">
        <f t="shared" si="289"/>
        <v>1.5646723538036165</v>
      </c>
      <c r="AB205" s="181">
        <f t="shared" si="290"/>
        <v>4.5925533153136855E-2</v>
      </c>
      <c r="AC205" s="181"/>
      <c r="AD205" s="181">
        <f t="shared" si="291"/>
        <v>1.5646723538036162</v>
      </c>
      <c r="AE205" s="565">
        <f t="shared" si="292"/>
        <v>1256.1845530160142</v>
      </c>
      <c r="AF205" s="548">
        <f t="shared" si="293"/>
        <v>7.0419150834809818E-2</v>
      </c>
      <c r="AH205" s="181">
        <f t="shared" si="294"/>
        <v>0.96769239504533222</v>
      </c>
      <c r="AI205" s="181">
        <f t="shared" si="295"/>
        <v>1.45</v>
      </c>
      <c r="AJ205" s="181">
        <f t="shared" si="296"/>
        <v>2.0592592592592593</v>
      </c>
      <c r="AL205" s="565">
        <f t="shared" si="297"/>
        <v>285</v>
      </c>
      <c r="AM205" s="474">
        <f t="shared" si="298"/>
        <v>62.076806677328321</v>
      </c>
      <c r="AO205" t="str">
        <f t="shared" si="299"/>
        <v/>
      </c>
      <c r="AP205" t="str">
        <f t="shared" si="300"/>
        <v/>
      </c>
      <c r="AR205" s="6">
        <f t="shared" si="314"/>
        <v>16.109076054732366</v>
      </c>
      <c r="AS205" s="6">
        <f t="shared" si="305"/>
        <v>8.2857142857142847</v>
      </c>
      <c r="AT205" s="6">
        <f t="shared" si="306"/>
        <v>7.8233617690180814</v>
      </c>
      <c r="AU205" s="181">
        <f t="shared" si="307"/>
        <v>0.5143506838978632</v>
      </c>
      <c r="AW205" s="6">
        <f t="shared" si="246"/>
        <v>15.742857142857138</v>
      </c>
      <c r="AX205" s="6">
        <f t="shared" si="247"/>
        <v>29.517857142857135</v>
      </c>
      <c r="AY205" s="6">
        <f t="shared" si="248"/>
        <v>8.8478496197228278</v>
      </c>
      <c r="AZ205" s="6"/>
      <c r="BA205" s="181">
        <f t="shared" si="249"/>
        <v>0.60039495692287348</v>
      </c>
      <c r="BB205" s="181">
        <f t="shared" si="250"/>
        <v>0.58340314451922026</v>
      </c>
      <c r="BC205" s="181">
        <f t="shared" si="251"/>
        <v>0.57515299904117068</v>
      </c>
      <c r="BD205" s="181"/>
      <c r="BE205" s="548">
        <f t="shared" si="252"/>
        <v>0.12616593650444669</v>
      </c>
      <c r="BF205" s="548">
        <f t="shared" si="253"/>
        <v>2.0027529754273046E-2</v>
      </c>
      <c r="BG205" s="548">
        <f t="shared" si="254"/>
        <v>7.7596008346660398E-4</v>
      </c>
      <c r="BH205" s="548">
        <f t="shared" si="255"/>
        <v>1.7670841985774537E-3</v>
      </c>
      <c r="BI205">
        <f t="shared" si="256"/>
        <v>2.0300000000000001E-3</v>
      </c>
      <c r="BJ205" s="474">
        <f t="shared" si="257"/>
        <v>150.76651054076382</v>
      </c>
      <c r="BK205" s="181">
        <f t="shared" si="258"/>
        <v>9.9749999999999991E-2</v>
      </c>
      <c r="BL205" s="181">
        <f t="shared" si="259"/>
        <v>9.9749999999999991E-2</v>
      </c>
      <c r="BM205" s="548"/>
      <c r="BO205" s="474">
        <f t="shared" si="260"/>
        <v>199.49999999999997</v>
      </c>
      <c r="BP205" s="548">
        <f t="shared" si="261"/>
        <v>0</v>
      </c>
      <c r="BQ205" s="548">
        <f t="shared" si="262"/>
        <v>0</v>
      </c>
      <c r="BR205" s="548">
        <f t="shared" si="263"/>
        <v>2.9772087507544759E-2</v>
      </c>
      <c r="BS205" s="548">
        <f t="shared" si="264"/>
        <v>3.8433809226761577E-3</v>
      </c>
      <c r="BT205" s="658">
        <f t="shared" si="301"/>
        <v>0.13704231034103695</v>
      </c>
      <c r="BU205" s="474">
        <f t="shared" si="308"/>
        <v>170.65777877125788</v>
      </c>
      <c r="BV205" s="181">
        <f t="shared" si="309"/>
        <v>0.52092428931202162</v>
      </c>
      <c r="BW205" s="6">
        <f t="shared" si="310"/>
        <v>3.7112703957010256</v>
      </c>
      <c r="BX205" s="181">
        <f t="shared" si="311"/>
        <v>0.87691391155593412</v>
      </c>
      <c r="BY205" s="6">
        <f t="shared" si="312"/>
        <v>87.691391155593408</v>
      </c>
      <c r="BZ205">
        <f t="shared" si="313"/>
        <v>95</v>
      </c>
      <c r="CB205" s="583">
        <f t="shared" si="302"/>
        <v>-50</v>
      </c>
      <c r="CC205">
        <f t="shared" si="303"/>
        <v>-50</v>
      </c>
    </row>
    <row r="206" spans="5:81" x14ac:dyDescent="0.2">
      <c r="E206" s="178">
        <v>96</v>
      </c>
      <c r="F206" s="225">
        <f t="shared" si="304"/>
        <v>0.28799999999999998</v>
      </c>
      <c r="G206" s="225">
        <f t="shared" si="271"/>
        <v>0.28799999999999998</v>
      </c>
      <c r="H206" s="225">
        <f t="shared" si="272"/>
        <v>4.3199999999999994</v>
      </c>
      <c r="I206" s="225">
        <f t="shared" si="273"/>
        <v>2.3039999999999998</v>
      </c>
      <c r="J206" s="561">
        <f t="shared" si="274"/>
        <v>7</v>
      </c>
      <c r="K206" s="456">
        <f t="shared" si="275"/>
        <v>7.3390708964338058</v>
      </c>
      <c r="L206" s="456">
        <f t="shared" si="276"/>
        <v>22.25</v>
      </c>
      <c r="M206" s="456"/>
      <c r="N206" s="225">
        <f t="shared" si="277"/>
        <v>0.6853932584269663</v>
      </c>
      <c r="O206" s="180">
        <f t="shared" ref="O206:O210" si="315">N206*J206*Isw_max*0.5*Efficiency*Pout/(Pout+Pout2)</f>
        <v>2.0416524181729359</v>
      </c>
      <c r="P206" s="180">
        <f t="shared" si="279"/>
        <v>1.6696179775280899</v>
      </c>
      <c r="Q206" s="225">
        <f t="shared" si="280"/>
        <v>0.13611016121152905</v>
      </c>
      <c r="R206" s="225">
        <f t="shared" si="281"/>
        <v>0.25520655227161698</v>
      </c>
      <c r="S206" s="225">
        <f t="shared" si="282"/>
        <v>7.0890708964338058</v>
      </c>
      <c r="T206" s="225">
        <f t="shared" si="283"/>
        <v>1.45</v>
      </c>
      <c r="U206" s="225">
        <f t="shared" si="284"/>
        <v>8.2857142857142847</v>
      </c>
      <c r="V206" s="225">
        <f t="shared" si="285"/>
        <v>7.9029077138610697</v>
      </c>
      <c r="W206" s="205">
        <f t="shared" si="286"/>
        <v>308.85890103130185</v>
      </c>
      <c r="X206" s="456">
        <f t="shared" si="287"/>
        <v>61.771780206260367</v>
      </c>
      <c r="Z206" s="225">
        <f t="shared" si="288"/>
        <v>0.28999999999999992</v>
      </c>
      <c r="AA206" s="181">
        <f t="shared" si="289"/>
        <v>1.5805815427722136</v>
      </c>
      <c r="AB206" s="181">
        <f t="shared" ref="AB206:AB210" si="316">0.5*AA206*Z206*Nps*W206/1000*(Pout/(Pout+Pout2))</f>
        <v>4.6164533707951878E-2</v>
      </c>
      <c r="AC206" s="181"/>
      <c r="AD206" s="181">
        <f t="shared" si="291"/>
        <v>1.5805815427722141</v>
      </c>
      <c r="AE206" s="565">
        <f t="shared" ref="AE206:AE210" si="317">MAX(10, F206/(0.5*AD206/1000000*Isw_min*Nps)/1000*Pout_total/Pout)</f>
        <v>1256.6304507567991</v>
      </c>
      <c r="AF206" s="548">
        <f t="shared" si="293"/>
        <v>7.0785618352192922E-2</v>
      </c>
      <c r="AH206" s="181">
        <f t="shared" si="294"/>
        <v>0.97277218005333288</v>
      </c>
      <c r="AI206" s="181">
        <f t="shared" ref="AI206:AI210" si="318">MAX(IF(F206&gt;AB206,T206,AH206),Isw_min)</f>
        <v>1.45</v>
      </c>
      <c r="AJ206" s="181">
        <f t="shared" ref="AJ206:AJ210" si="319">IF(F206&gt;AF206, (AI206-Isw_min)/1.08*0.8+1.2, AE206*0.2/350+1)</f>
        <v>2.0592592592592593</v>
      </c>
      <c r="AL206" s="565">
        <f t="shared" si="297"/>
        <v>288</v>
      </c>
      <c r="AM206" s="474">
        <f t="shared" si="298"/>
        <v>61.771780206260367</v>
      </c>
      <c r="AO206" t="str">
        <f t="shared" si="299"/>
        <v/>
      </c>
      <c r="AP206" t="str">
        <f t="shared" si="300"/>
        <v/>
      </c>
      <c r="AR206" s="6">
        <f t="shared" si="314"/>
        <v>16.188621999575354</v>
      </c>
      <c r="AS206" s="6">
        <f t="shared" si="305"/>
        <v>8.2857142857142847</v>
      </c>
      <c r="AT206" s="6">
        <f t="shared" si="306"/>
        <v>7.9029077138610688</v>
      </c>
      <c r="AU206" s="181">
        <f t="shared" si="307"/>
        <v>0.51182332170901446</v>
      </c>
      <c r="AW206" s="6">
        <f t="shared" si="246"/>
        <v>15.908571428571424</v>
      </c>
      <c r="AX206" s="6">
        <f t="shared" si="247"/>
        <v>29.828571428571419</v>
      </c>
      <c r="AY206" s="6">
        <f t="shared" si="248"/>
        <v>9.031894530126932</v>
      </c>
      <c r="AZ206" s="6"/>
      <c r="BA206" s="181">
        <f t="shared" si="249"/>
        <v>0.59891806170048645</v>
      </c>
      <c r="BB206" s="181">
        <f t="shared" si="250"/>
        <v>0.58491921553515891</v>
      </c>
      <c r="BC206" s="181">
        <f t="shared" si="251"/>
        <v>0.57664763066900504</v>
      </c>
      <c r="BD206" s="181"/>
      <c r="BE206" s="548">
        <f t="shared" si="252"/>
        <v>0.12554599562087371</v>
      </c>
      <c r="BF206" s="548">
        <f t="shared" si="253"/>
        <v>1.9929120589044749E-2</v>
      </c>
      <c r="BG206" s="548">
        <f t="shared" si="254"/>
        <v>7.7214725257825458E-4</v>
      </c>
      <c r="BH206" s="548">
        <f t="shared" si="255"/>
        <v>1.7584012864558017E-3</v>
      </c>
      <c r="BI206">
        <f t="shared" si="256"/>
        <v>2.0300000000000001E-3</v>
      </c>
      <c r="BJ206" s="474">
        <f t="shared" si="257"/>
        <v>150.03566474895251</v>
      </c>
      <c r="BK206" s="181">
        <f t="shared" si="258"/>
        <v>0.10079999999999999</v>
      </c>
      <c r="BL206" s="181">
        <f t="shared" si="259"/>
        <v>0.10079999999999999</v>
      </c>
      <c r="BM206" s="548"/>
      <c r="BO206" s="474">
        <f t="shared" si="260"/>
        <v>201.59999999999997</v>
      </c>
      <c r="BP206" s="548">
        <f t="shared" si="261"/>
        <v>0</v>
      </c>
      <c r="BQ206" s="548">
        <f t="shared" si="262"/>
        <v>0</v>
      </c>
      <c r="BR206" s="548">
        <f t="shared" si="263"/>
        <v>2.9927024096055948E-2</v>
      </c>
      <c r="BS206" s="548">
        <f t="shared" si="264"/>
        <v>3.7963417723801247E-3</v>
      </c>
      <c r="BT206" s="658">
        <f t="shared" si="301"/>
        <v>0.13636892627784558</v>
      </c>
      <c r="BU206" s="474">
        <f t="shared" si="308"/>
        <v>170.09229214628166</v>
      </c>
      <c r="BV206" s="181">
        <f t="shared" si="309"/>
        <v>0.52172795689523421</v>
      </c>
      <c r="BW206" s="6">
        <f t="shared" si="310"/>
        <v>3.7112703957010256</v>
      </c>
      <c r="BX206" s="181">
        <f t="shared" si="311"/>
        <v>0.87674742264540717</v>
      </c>
      <c r="BY206" s="6">
        <f t="shared" si="312"/>
        <v>87.674742264540711</v>
      </c>
      <c r="BZ206">
        <f t="shared" si="313"/>
        <v>96</v>
      </c>
      <c r="CB206" s="583">
        <f t="shared" si="302"/>
        <v>-50</v>
      </c>
      <c r="CC206">
        <f t="shared" si="303"/>
        <v>-50</v>
      </c>
    </row>
    <row r="207" spans="5:81" x14ac:dyDescent="0.2">
      <c r="E207" s="178">
        <v>97</v>
      </c>
      <c r="F207" s="225">
        <f t="shared" ref="F207:F210" si="320">IF(PLOT_TYPE=1, E207/100*Iout_max, min_I*EXP(O207*rr/100))</f>
        <v>0.29099999999999998</v>
      </c>
      <c r="G207" s="225">
        <f t="shared" si="271"/>
        <v>0.29099999999999998</v>
      </c>
      <c r="H207" s="225">
        <f t="shared" si="272"/>
        <v>4.3649999999999993</v>
      </c>
      <c r="I207" s="225">
        <f t="shared" si="273"/>
        <v>2.3279999999999998</v>
      </c>
      <c r="J207" s="561">
        <f t="shared" si="274"/>
        <v>7</v>
      </c>
      <c r="K207" s="456">
        <f t="shared" si="275"/>
        <v>7.2659876913159316</v>
      </c>
      <c r="L207" s="456">
        <f t="shared" si="276"/>
        <v>22.25</v>
      </c>
      <c r="M207" s="456"/>
      <c r="N207" s="225">
        <f t="shared" si="277"/>
        <v>0.6853932584269663</v>
      </c>
      <c r="O207" s="180">
        <f t="shared" si="315"/>
        <v>2.0416524181729359</v>
      </c>
      <c r="P207" s="180">
        <f t="shared" si="279"/>
        <v>1.6696179775280899</v>
      </c>
      <c r="Q207" s="225">
        <f t="shared" si="280"/>
        <v>0.13611016121152905</v>
      </c>
      <c r="R207" s="225">
        <f t="shared" si="281"/>
        <v>0.25520655227161698</v>
      </c>
      <c r="S207" s="225">
        <f t="shared" si="282"/>
        <v>7.0159876913159316</v>
      </c>
      <c r="T207" s="225">
        <f t="shared" si="283"/>
        <v>1.45</v>
      </c>
      <c r="U207" s="225">
        <f t="shared" si="284"/>
        <v>8.2857142857142847</v>
      </c>
      <c r="V207" s="225">
        <f t="shared" si="285"/>
        <v>7.982397227195924</v>
      </c>
      <c r="W207" s="205">
        <f t="shared" si="286"/>
        <v>307.34974960259217</v>
      </c>
      <c r="X207" s="456">
        <f t="shared" si="287"/>
        <v>61.469949920518438</v>
      </c>
      <c r="Z207" s="225">
        <f t="shared" si="288"/>
        <v>0.28999999999999998</v>
      </c>
      <c r="AA207" s="181">
        <f t="shared" si="289"/>
        <v>1.5964794454391849</v>
      </c>
      <c r="AB207" s="181">
        <f t="shared" si="316"/>
        <v>4.6401029922525448E-2</v>
      </c>
      <c r="AC207" s="181"/>
      <c r="AD207" s="181">
        <f t="shared" si="291"/>
        <v>1.5964794454391849</v>
      </c>
      <c r="AE207" s="565">
        <f t="shared" si="317"/>
        <v>1257.0763484975837</v>
      </c>
      <c r="AF207" s="548">
        <f t="shared" si="293"/>
        <v>7.1148245881205704E-2</v>
      </c>
      <c r="AH207" s="181">
        <f t="shared" si="294"/>
        <v>0.97782557603227838</v>
      </c>
      <c r="AI207" s="181">
        <f t="shared" si="318"/>
        <v>1.45</v>
      </c>
      <c r="AJ207" s="181">
        <f t="shared" si="319"/>
        <v>2.0592592592592593</v>
      </c>
      <c r="AL207" s="565">
        <f t="shared" si="297"/>
        <v>291</v>
      </c>
      <c r="AM207" s="474">
        <f t="shared" si="298"/>
        <v>61.469949920518438</v>
      </c>
      <c r="AO207" t="str">
        <f t="shared" si="299"/>
        <v/>
      </c>
      <c r="AP207" t="str">
        <f t="shared" si="300"/>
        <v/>
      </c>
      <c r="AR207" s="6">
        <f t="shared" si="314"/>
        <v>16.26811151291021</v>
      </c>
      <c r="AS207" s="6">
        <f t="shared" si="305"/>
        <v>8.2857142857142847</v>
      </c>
      <c r="AT207" s="6">
        <f t="shared" si="306"/>
        <v>7.9823972271959249</v>
      </c>
      <c r="AU207" s="181">
        <f t="shared" si="307"/>
        <v>0.50932244219858125</v>
      </c>
      <c r="AW207" s="6">
        <f t="shared" si="246"/>
        <v>16.074285714285711</v>
      </c>
      <c r="AX207" s="6">
        <f t="shared" si="247"/>
        <v>30.139285714285709</v>
      </c>
      <c r="AY207" s="6">
        <f t="shared" si="248"/>
        <v>9.2177682266429102</v>
      </c>
      <c r="AZ207" s="6"/>
      <c r="BA207" s="181">
        <f t="shared" si="249"/>
        <v>0.59745304828706469</v>
      </c>
      <c r="BB207" s="181">
        <f t="shared" si="250"/>
        <v>0.58641554244906202</v>
      </c>
      <c r="BC207" s="181">
        <f t="shared" si="251"/>
        <v>0.57812279740432782</v>
      </c>
      <c r="BD207" s="181"/>
      <c r="BE207" s="548">
        <f t="shared" si="252"/>
        <v>0.12493255071762698</v>
      </c>
      <c r="BF207" s="548">
        <f t="shared" si="253"/>
        <v>1.9831742593107257E-2</v>
      </c>
      <c r="BG207" s="548">
        <f t="shared" si="254"/>
        <v>7.6837437400648046E-4</v>
      </c>
      <c r="BH207" s="548">
        <f t="shared" si="255"/>
        <v>1.7498093572452826E-3</v>
      </c>
      <c r="BI207">
        <f t="shared" si="256"/>
        <v>2.0300000000000001E-3</v>
      </c>
      <c r="BJ207" s="474">
        <f t="shared" si="257"/>
        <v>149.312477041986</v>
      </c>
      <c r="BK207" s="181">
        <f t="shared" si="258"/>
        <v>0.10184999999999998</v>
      </c>
      <c r="BL207" s="181">
        <f t="shared" si="259"/>
        <v>0.10184999999999998</v>
      </c>
      <c r="BM207" s="548"/>
      <c r="BO207" s="474">
        <f t="shared" si="260"/>
        <v>203.69999999999996</v>
      </c>
      <c r="BP207" s="548">
        <f t="shared" si="261"/>
        <v>0</v>
      </c>
      <c r="BQ207" s="548">
        <f t="shared" si="262"/>
        <v>0</v>
      </c>
      <c r="BR207" s="548">
        <f t="shared" si="263"/>
        <v>3.0080337199074488E-2</v>
      </c>
      <c r="BS207" s="548">
        <f t="shared" si="264"/>
        <v>3.7501372116892436E-3</v>
      </c>
      <c r="BT207" s="658">
        <f t="shared" si="301"/>
        <v>0.13570259819328453</v>
      </c>
      <c r="BU207" s="474">
        <f t="shared" si="308"/>
        <v>169.53307260404827</v>
      </c>
      <c r="BV207" s="181">
        <f t="shared" si="309"/>
        <v>0.52254554964603428</v>
      </c>
      <c r="BW207" s="6">
        <f t="shared" si="310"/>
        <v>3.7112703957010256</v>
      </c>
      <c r="BX207" s="181">
        <f t="shared" si="311"/>
        <v>0.87657811383598072</v>
      </c>
      <c r="BY207" s="6">
        <f t="shared" si="312"/>
        <v>87.657811383598073</v>
      </c>
      <c r="BZ207">
        <f t="shared" si="313"/>
        <v>97</v>
      </c>
      <c r="CB207" s="583">
        <f t="shared" si="302"/>
        <v>-50</v>
      </c>
      <c r="CC207">
        <f t="shared" si="303"/>
        <v>-50</v>
      </c>
    </row>
    <row r="208" spans="5:81" x14ac:dyDescent="0.2">
      <c r="E208" s="178">
        <v>98</v>
      </c>
      <c r="F208" s="225">
        <f t="shared" si="320"/>
        <v>0.29399999999999998</v>
      </c>
      <c r="G208" s="225">
        <f t="shared" si="271"/>
        <v>0.29399999999999998</v>
      </c>
      <c r="H208" s="225">
        <f t="shared" si="272"/>
        <v>4.41</v>
      </c>
      <c r="I208" s="225">
        <f t="shared" si="273"/>
        <v>2.3519999999999999</v>
      </c>
      <c r="J208" s="561">
        <f t="shared" si="274"/>
        <v>7</v>
      </c>
      <c r="K208" s="456">
        <f t="shared" si="275"/>
        <v>7.1943959801800546</v>
      </c>
      <c r="L208" s="456">
        <f t="shared" si="276"/>
        <v>22.25</v>
      </c>
      <c r="M208" s="456"/>
      <c r="N208" s="225">
        <f t="shared" si="277"/>
        <v>0.6853932584269663</v>
      </c>
      <c r="O208" s="180">
        <f t="shared" si="315"/>
        <v>2.0416524181729359</v>
      </c>
      <c r="P208" s="180">
        <f t="shared" si="279"/>
        <v>1.6696179775280899</v>
      </c>
      <c r="Q208" s="225">
        <f t="shared" si="280"/>
        <v>0.13611016121152905</v>
      </c>
      <c r="R208" s="225">
        <f t="shared" si="281"/>
        <v>0.25520655227161698</v>
      </c>
      <c r="S208" s="225">
        <f t="shared" si="282"/>
        <v>6.9443959801800546</v>
      </c>
      <c r="T208" s="225">
        <f t="shared" si="283"/>
        <v>1.45</v>
      </c>
      <c r="U208" s="225">
        <f t="shared" si="284"/>
        <v>8.2857142857142847</v>
      </c>
      <c r="V208" s="225">
        <f t="shared" si="285"/>
        <v>8.0618303690518331</v>
      </c>
      <c r="W208" s="205">
        <f t="shared" si="286"/>
        <v>305.85632922814818</v>
      </c>
      <c r="X208" s="456">
        <f t="shared" si="287"/>
        <v>61.171265845629641</v>
      </c>
      <c r="Z208" s="225">
        <f t="shared" si="288"/>
        <v>0.29000000000000004</v>
      </c>
      <c r="AA208" s="181">
        <f t="shared" si="289"/>
        <v>1.6123660738103671</v>
      </c>
      <c r="AB208" s="181">
        <f t="shared" si="316"/>
        <v>4.6635060953874687E-2</v>
      </c>
      <c r="AC208" s="181"/>
      <c r="AD208" s="181">
        <f t="shared" si="291"/>
        <v>1.6123660738103669</v>
      </c>
      <c r="AE208" s="565">
        <f t="shared" si="317"/>
        <v>1257.5222462383686</v>
      </c>
      <c r="AF208" s="548">
        <f t="shared" si="293"/>
        <v>7.1507093462607835E-2</v>
      </c>
      <c r="AH208" s="181">
        <f t="shared" si="294"/>
        <v>0.98285299002444915</v>
      </c>
      <c r="AI208" s="181">
        <f t="shared" si="318"/>
        <v>1.45</v>
      </c>
      <c r="AJ208" s="181">
        <f t="shared" si="319"/>
        <v>2.0592592592592593</v>
      </c>
      <c r="AL208" s="565">
        <f t="shared" si="297"/>
        <v>294</v>
      </c>
      <c r="AM208" s="474">
        <f t="shared" si="298"/>
        <v>61.171265845629641</v>
      </c>
      <c r="AO208" t="str">
        <f t="shared" si="299"/>
        <v/>
      </c>
      <c r="AP208" t="str">
        <f t="shared" si="300"/>
        <v/>
      </c>
      <c r="AR208" s="6">
        <f t="shared" si="314"/>
        <v>16.347544654766118</v>
      </c>
      <c r="AS208" s="6">
        <f t="shared" si="305"/>
        <v>8.2857142857142847</v>
      </c>
      <c r="AT208" s="6">
        <f t="shared" si="306"/>
        <v>8.0618303690518331</v>
      </c>
      <c r="AU208" s="181">
        <f t="shared" si="307"/>
        <v>0.50684763129235977</v>
      </c>
      <c r="AW208" s="6">
        <f t="shared" si="246"/>
        <v>16.239999999999998</v>
      </c>
      <c r="AX208" s="6">
        <f t="shared" si="247"/>
        <v>30.449999999999996</v>
      </c>
      <c r="AY208" s="6">
        <f t="shared" si="248"/>
        <v>9.4054687638938059</v>
      </c>
      <c r="AZ208" s="6"/>
      <c r="BA208" s="181">
        <f t="shared" si="249"/>
        <v>0.59599976084787887</v>
      </c>
      <c r="BB208" s="181">
        <f t="shared" si="250"/>
        <v>0.58789252283270665</v>
      </c>
      <c r="BC208" s="181">
        <f t="shared" si="251"/>
        <v>0.57957889119668848</v>
      </c>
      <c r="BD208" s="181"/>
      <c r="BE208" s="548">
        <f t="shared" si="252"/>
        <v>0.12432550022575507</v>
      </c>
      <c r="BF208" s="548">
        <f t="shared" si="253"/>
        <v>1.9735379643446262E-2</v>
      </c>
      <c r="BG208" s="548">
        <f t="shared" si="254"/>
        <v>7.6464082307037046E-4</v>
      </c>
      <c r="BH208" s="548">
        <f t="shared" si="255"/>
        <v>1.7413069883678663E-3</v>
      </c>
      <c r="BI208">
        <f t="shared" si="256"/>
        <v>2.0300000000000001E-3</v>
      </c>
      <c r="BJ208" s="474">
        <f t="shared" si="257"/>
        <v>148.59682768063956</v>
      </c>
      <c r="BK208" s="181">
        <f t="shared" si="258"/>
        <v>0.10289999999999999</v>
      </c>
      <c r="BL208" s="181">
        <f t="shared" si="259"/>
        <v>0.10289999999999999</v>
      </c>
      <c r="BM208" s="548"/>
      <c r="BO208" s="474">
        <f t="shared" si="260"/>
        <v>205.79999999999998</v>
      </c>
      <c r="BP208" s="548">
        <f t="shared" si="261"/>
        <v>0</v>
      </c>
      <c r="BQ208" s="548">
        <f t="shared" si="262"/>
        <v>0</v>
      </c>
      <c r="BR208" s="548">
        <f t="shared" si="263"/>
        <v>3.0232052200870455E-2</v>
      </c>
      <c r="BS208" s="548">
        <f t="shared" si="264"/>
        <v>3.7047480579642141E-3</v>
      </c>
      <c r="BT208" s="658">
        <f t="shared" si="301"/>
        <v>0.13504321576245817</v>
      </c>
      <c r="BU208" s="474">
        <f t="shared" si="308"/>
        <v>168.98001602129284</v>
      </c>
      <c r="BV208" s="181">
        <f t="shared" si="309"/>
        <v>0.52337684370193238</v>
      </c>
      <c r="BW208" s="6">
        <f t="shared" si="310"/>
        <v>3.7112703957010256</v>
      </c>
      <c r="BX208" s="181">
        <f t="shared" si="311"/>
        <v>0.87640603476200696</v>
      </c>
      <c r="BY208" s="6">
        <f t="shared" si="312"/>
        <v>87.640603476200695</v>
      </c>
      <c r="BZ208">
        <f t="shared" si="313"/>
        <v>98</v>
      </c>
      <c r="CB208" s="583">
        <f t="shared" si="302"/>
        <v>-50</v>
      </c>
      <c r="CC208">
        <f t="shared" si="303"/>
        <v>-50</v>
      </c>
    </row>
    <row r="209" spans="5:81" x14ac:dyDescent="0.2">
      <c r="E209" s="178">
        <v>99</v>
      </c>
      <c r="F209" s="225">
        <f t="shared" si="320"/>
        <v>0.29699999999999999</v>
      </c>
      <c r="G209" s="225">
        <f t="shared" si="271"/>
        <v>0.29699999999999999</v>
      </c>
      <c r="H209" s="225">
        <f t="shared" si="272"/>
        <v>4.4550000000000001</v>
      </c>
      <c r="I209" s="225">
        <f t="shared" si="273"/>
        <v>2.3759999999999999</v>
      </c>
      <c r="J209" s="561">
        <f t="shared" si="274"/>
        <v>7</v>
      </c>
      <c r="K209" s="456">
        <f t="shared" si="275"/>
        <v>7.1242505662388416</v>
      </c>
      <c r="L209" s="456">
        <f t="shared" si="276"/>
        <v>22.25</v>
      </c>
      <c r="M209" s="456"/>
      <c r="N209" s="225">
        <f t="shared" si="277"/>
        <v>0.6853932584269663</v>
      </c>
      <c r="O209" s="180">
        <f t="shared" si="315"/>
        <v>2.0416524181729359</v>
      </c>
      <c r="P209" s="180">
        <f t="shared" si="279"/>
        <v>1.6696179775280899</v>
      </c>
      <c r="Q209" s="225">
        <f t="shared" si="280"/>
        <v>0.13611016121152905</v>
      </c>
      <c r="R209" s="225">
        <f t="shared" si="281"/>
        <v>0.25520655227161698</v>
      </c>
      <c r="S209" s="225">
        <f t="shared" si="282"/>
        <v>6.8742505662388416</v>
      </c>
      <c r="T209" s="225">
        <f t="shared" si="283"/>
        <v>1.45</v>
      </c>
      <c r="U209" s="225">
        <f t="shared" si="284"/>
        <v>8.2857142857142847</v>
      </c>
      <c r="V209" s="225">
        <f t="shared" si="285"/>
        <v>8.1412071993728841</v>
      </c>
      <c r="W209" s="205">
        <f t="shared" si="286"/>
        <v>304.37839521782234</v>
      </c>
      <c r="X209" s="456">
        <f t="shared" si="287"/>
        <v>60.875679043564467</v>
      </c>
      <c r="Z209" s="225">
        <f t="shared" si="288"/>
        <v>0.29000000000000004</v>
      </c>
      <c r="AA209" s="181">
        <f t="shared" si="289"/>
        <v>1.628241439874577</v>
      </c>
      <c r="AB209" s="181">
        <f t="shared" si="316"/>
        <v>4.686666514692138E-2</v>
      </c>
      <c r="AC209" s="181"/>
      <c r="AD209" s="181">
        <f t="shared" si="291"/>
        <v>1.6282414398745768</v>
      </c>
      <c r="AE209" s="565">
        <f t="shared" si="317"/>
        <v>1257.9681439791534</v>
      </c>
      <c r="AF209" s="548">
        <f t="shared" si="293"/>
        <v>7.1862219891946091E-2</v>
      </c>
      <c r="AH209" s="181">
        <f t="shared" si="294"/>
        <v>0.98785481871434055</v>
      </c>
      <c r="AI209" s="181">
        <f t="shared" si="318"/>
        <v>1.45</v>
      </c>
      <c r="AJ209" s="181">
        <f t="shared" si="319"/>
        <v>2.0592592592592593</v>
      </c>
      <c r="AL209" s="565">
        <f t="shared" si="297"/>
        <v>297</v>
      </c>
      <c r="AM209" s="474">
        <f t="shared" si="298"/>
        <v>60.875679043564467</v>
      </c>
      <c r="AO209" t="str">
        <f t="shared" si="299"/>
        <v/>
      </c>
      <c r="AP209" t="str">
        <f t="shared" si="300"/>
        <v/>
      </c>
      <c r="AR209" s="6">
        <f t="shared" si="314"/>
        <v>16.426921485087174</v>
      </c>
      <c r="AS209" s="6">
        <f t="shared" si="305"/>
        <v>8.2857142857142847</v>
      </c>
      <c r="AT209" s="6">
        <f t="shared" si="306"/>
        <v>8.1412071993728894</v>
      </c>
      <c r="AU209" s="181">
        <f t="shared" si="307"/>
        <v>0.50439848350381977</v>
      </c>
      <c r="AW209" s="6">
        <f t="shared" si="246"/>
        <v>16.405714285714282</v>
      </c>
      <c r="AX209" s="6">
        <f t="shared" si="247"/>
        <v>30.760714285714279</v>
      </c>
      <c r="AY209" s="6">
        <f t="shared" si="248"/>
        <v>9.5949941992609045</v>
      </c>
      <c r="AZ209" s="6"/>
      <c r="BA209" s="181">
        <f t="shared" si="249"/>
        <v>0.59455804638593557</v>
      </c>
      <c r="BB209" s="181">
        <f t="shared" si="250"/>
        <v>0.58935054323473135</v>
      </c>
      <c r="BC209" s="181">
        <f t="shared" si="251"/>
        <v>0.58101629312838166</v>
      </c>
      <c r="BD209" s="181"/>
      <c r="BE209" s="548">
        <f t="shared" si="252"/>
        <v>0.1237247446827911</v>
      </c>
      <c r="BF209" s="548">
        <f t="shared" si="253"/>
        <v>1.9640015951429987E-2</v>
      </c>
      <c r="BG209" s="548">
        <f t="shared" si="254"/>
        <v>7.6094598804455574E-4</v>
      </c>
      <c r="BH209" s="548">
        <f t="shared" si="255"/>
        <v>1.7328927867490162E-3</v>
      </c>
      <c r="BI209">
        <f t="shared" si="256"/>
        <v>2.0300000000000001E-3</v>
      </c>
      <c r="BJ209" s="474">
        <f t="shared" si="257"/>
        <v>147.88859940901466</v>
      </c>
      <c r="BK209" s="181">
        <f t="shared" si="258"/>
        <v>0.10394999999999999</v>
      </c>
      <c r="BL209" s="181">
        <f t="shared" si="259"/>
        <v>0.10394999999999999</v>
      </c>
      <c r="BM209" s="548"/>
      <c r="BO209" s="474">
        <f t="shared" si="260"/>
        <v>207.89999999999998</v>
      </c>
      <c r="BP209" s="548">
        <f t="shared" si="261"/>
        <v>0</v>
      </c>
      <c r="BQ209" s="548">
        <f t="shared" si="262"/>
        <v>0</v>
      </c>
      <c r="BR209" s="548">
        <f t="shared" si="263"/>
        <v>3.0382193959258095E-2</v>
      </c>
      <c r="BS209" s="548">
        <f t="shared" si="264"/>
        <v>3.6601556678043648E-3</v>
      </c>
      <c r="BT209" s="658">
        <f t="shared" si="301"/>
        <v>0.13439067094854901</v>
      </c>
      <c r="BU209" s="474">
        <f t="shared" si="308"/>
        <v>168.43302057561147</v>
      </c>
      <c r="BV209" s="181">
        <f t="shared" si="309"/>
        <v>0.52422161998462613</v>
      </c>
      <c r="BW209" s="6">
        <f t="shared" si="310"/>
        <v>3.7112703957010256</v>
      </c>
      <c r="BX209" s="181">
        <f t="shared" si="311"/>
        <v>0.87623123404713488</v>
      </c>
      <c r="BY209" s="6">
        <f t="shared" si="312"/>
        <v>87.623123404713482</v>
      </c>
      <c r="BZ209">
        <f t="shared" si="313"/>
        <v>99</v>
      </c>
      <c r="CB209" s="583">
        <f t="shared" si="302"/>
        <v>-50</v>
      </c>
      <c r="CC209">
        <f t="shared" si="303"/>
        <v>-50</v>
      </c>
    </row>
    <row r="210" spans="5:81" x14ac:dyDescent="0.2">
      <c r="E210" s="178">
        <v>100</v>
      </c>
      <c r="F210" s="225">
        <f t="shared" si="320"/>
        <v>0.3</v>
      </c>
      <c r="G210" s="225">
        <f t="shared" si="271"/>
        <v>0.3</v>
      </c>
      <c r="H210" s="225">
        <f t="shared" si="272"/>
        <v>4.5</v>
      </c>
      <c r="I210" s="225">
        <f t="shared" si="273"/>
        <v>2.4</v>
      </c>
      <c r="J210" s="561">
        <f t="shared" si="274"/>
        <v>7</v>
      </c>
      <c r="K210" s="456">
        <f t="shared" si="275"/>
        <v>7.0555080605764529</v>
      </c>
      <c r="L210" s="456">
        <f t="shared" si="276"/>
        <v>22.25</v>
      </c>
      <c r="M210" s="456"/>
      <c r="N210" s="225">
        <f t="shared" si="277"/>
        <v>0.6853932584269663</v>
      </c>
      <c r="O210" s="180">
        <f t="shared" si="315"/>
        <v>2.0416524181729359</v>
      </c>
      <c r="P210" s="180">
        <f t="shared" si="279"/>
        <v>1.6696179775280899</v>
      </c>
      <c r="Q210" s="225">
        <f t="shared" si="280"/>
        <v>0.13611016121152905</v>
      </c>
      <c r="R210" s="225">
        <f t="shared" si="281"/>
        <v>0.25520655227161698</v>
      </c>
      <c r="S210" s="225">
        <f t="shared" si="282"/>
        <v>6.8055080605764529</v>
      </c>
      <c r="T210" s="225">
        <f t="shared" si="283"/>
        <v>1.45</v>
      </c>
      <c r="U210" s="225">
        <f t="shared" si="284"/>
        <v>8.2857142857142847</v>
      </c>
      <c r="V210" s="225">
        <f t="shared" si="285"/>
        <v>8.2205277780181927</v>
      </c>
      <c r="W210" s="205">
        <f t="shared" si="286"/>
        <v>302.91570793003223</v>
      </c>
      <c r="X210" s="456">
        <f t="shared" si="287"/>
        <v>60.583141586006448</v>
      </c>
      <c r="Z210" s="225">
        <f t="shared" si="288"/>
        <v>0.28999999999999998</v>
      </c>
      <c r="AA210" s="181">
        <f t="shared" si="289"/>
        <v>1.6441055556036386</v>
      </c>
      <c r="AB210" s="181">
        <f t="shared" si="316"/>
        <v>4.7095880055436565E-2</v>
      </c>
      <c r="AC210" s="181"/>
      <c r="AD210" s="181">
        <f t="shared" si="291"/>
        <v>1.6441055556036386</v>
      </c>
      <c r="AE210" s="565">
        <f t="shared" si="317"/>
        <v>1258.4140417199383</v>
      </c>
      <c r="AF210" s="548">
        <f t="shared" si="293"/>
        <v>7.2213682751669395E-2</v>
      </c>
      <c r="AH210" s="181">
        <f t="shared" si="294"/>
        <v>0.99283144879394591</v>
      </c>
      <c r="AI210" s="181">
        <f t="shared" si="318"/>
        <v>1.45</v>
      </c>
      <c r="AJ210" s="181">
        <f t="shared" si="319"/>
        <v>2.0592592592592593</v>
      </c>
      <c r="AL210" s="565">
        <f t="shared" si="297"/>
        <v>300</v>
      </c>
      <c r="AM210" s="474">
        <f t="shared" si="298"/>
        <v>60.583141586006448</v>
      </c>
      <c r="AO210" t="str">
        <f t="shared" si="299"/>
        <v/>
      </c>
      <c r="AP210" t="str">
        <f t="shared" si="300"/>
        <v/>
      </c>
      <c r="AR210" s="6">
        <f t="shared" si="314"/>
        <v>16.506242063732479</v>
      </c>
      <c r="AS210" s="6">
        <f t="shared" si="305"/>
        <v>8.2857142857142847</v>
      </c>
      <c r="AT210" s="6">
        <f t="shared" si="306"/>
        <v>8.2205277780181945</v>
      </c>
      <c r="AU210" s="181">
        <f t="shared" si="307"/>
        <v>0.50197460171262476</v>
      </c>
      <c r="AW210" s="6">
        <f t="shared" si="246"/>
        <v>16.571428571428569</v>
      </c>
      <c r="AX210" s="6">
        <f t="shared" si="247"/>
        <v>31.071428571428566</v>
      </c>
      <c r="AY210" s="6">
        <f t="shared" si="248"/>
        <v>9.7863425928788015</v>
      </c>
      <c r="AZ210" s="6"/>
      <c r="BA210" s="181">
        <f t="shared" si="249"/>
        <v>0.59312775467594769</v>
      </c>
      <c r="BB210" s="181">
        <f t="shared" si="250"/>
        <v>0.59078997957514667</v>
      </c>
      <c r="BC210" s="181">
        <f t="shared" si="251"/>
        <v>0.58243537380337684</v>
      </c>
      <c r="BD210" s="181"/>
      <c r="BE210" s="548">
        <f t="shared" si="252"/>
        <v>0.1231301866784259</v>
      </c>
      <c r="BF210" s="548">
        <f t="shared" si="253"/>
        <v>1.9545636054185328E-2</v>
      </c>
      <c r="BG210" s="548">
        <f t="shared" si="254"/>
        <v>7.5728926982508054E-4</v>
      </c>
      <c r="BH210" s="548">
        <f t="shared" si="255"/>
        <v>1.7245653880567833E-3</v>
      </c>
      <c r="BI210">
        <f t="shared" si="256"/>
        <v>2.0300000000000001E-3</v>
      </c>
      <c r="BJ210" s="474">
        <f t="shared" si="257"/>
        <v>147.18767739049309</v>
      </c>
      <c r="BK210" s="181">
        <f t="shared" si="258"/>
        <v>0.105</v>
      </c>
      <c r="BL210" s="181">
        <f t="shared" si="259"/>
        <v>0.105</v>
      </c>
      <c r="BM210" s="548"/>
      <c r="BO210" s="474">
        <f t="shared" si="260"/>
        <v>210</v>
      </c>
      <c r="BP210" s="548">
        <f t="shared" si="261"/>
        <v>0</v>
      </c>
      <c r="BQ210" s="548">
        <f t="shared" si="262"/>
        <v>0</v>
      </c>
      <c r="BR210" s="548">
        <f t="shared" si="263"/>
        <v>3.0530786819173136E-2</v>
      </c>
      <c r="BS210" s="548">
        <f t="shared" si="264"/>
        <v>3.6163419191687614E-3</v>
      </c>
      <c r="BT210" s="658">
        <f t="shared" si="301"/>
        <v>0.1337448579438075</v>
      </c>
      <c r="BU210" s="474">
        <f t="shared" si="308"/>
        <v>167.89198668214939</v>
      </c>
      <c r="BV210" s="181">
        <f t="shared" si="309"/>
        <v>0.5250796640726425</v>
      </c>
      <c r="BW210" s="6">
        <f t="shared" si="310"/>
        <v>3.7112703957010256</v>
      </c>
      <c r="BX210" s="181">
        <f t="shared" si="311"/>
        <v>0.87605375932963014</v>
      </c>
      <c r="BY210" s="6">
        <f t="shared" si="312"/>
        <v>87.605375932963014</v>
      </c>
      <c r="BZ210">
        <f t="shared" si="313"/>
        <v>100</v>
      </c>
      <c r="CB210" s="583">
        <f t="shared" si="302"/>
        <v>-50</v>
      </c>
      <c r="CC210">
        <f t="shared" si="303"/>
        <v>-50</v>
      </c>
    </row>
    <row r="211" spans="5:81" x14ac:dyDescent="0.2">
      <c r="E211" s="178"/>
      <c r="F211" s="225"/>
      <c r="G211" s="225"/>
      <c r="H211" s="225"/>
      <c r="I211" s="225"/>
      <c r="J211" s="561"/>
      <c r="K211" s="456"/>
      <c r="L211" s="456"/>
      <c r="M211" s="456"/>
      <c r="N211" s="225"/>
      <c r="O211" s="180"/>
      <c r="P211" s="180"/>
      <c r="Q211" s="225"/>
      <c r="R211" s="225"/>
      <c r="S211" s="225"/>
      <c r="T211" s="225"/>
      <c r="U211" s="225"/>
      <c r="V211" s="225"/>
      <c r="W211" s="205"/>
      <c r="X211" s="456"/>
      <c r="Z211" s="225"/>
      <c r="AA211" s="181"/>
      <c r="AB211" s="181"/>
      <c r="AC211" s="181"/>
      <c r="AD211" s="181"/>
      <c r="AE211" s="565"/>
      <c r="AF211" s="548"/>
      <c r="AH211" s="181"/>
      <c r="AI211" s="181"/>
      <c r="AJ211" s="181"/>
      <c r="AL211" s="565"/>
      <c r="AM211" s="474"/>
      <c r="AR211" s="6"/>
      <c r="AS211" s="6"/>
      <c r="AT211" s="6"/>
      <c r="AU211" s="181"/>
      <c r="CB211" s="583"/>
      <c r="CC211" s="559">
        <f>MAX(CC110:CC210)</f>
        <v>3.196530912132058</v>
      </c>
    </row>
    <row r="212" spans="5:81" x14ac:dyDescent="0.2">
      <c r="G212" s="225"/>
      <c r="H212" s="225"/>
      <c r="I212" s="225"/>
      <c r="J212" s="561"/>
      <c r="K212" s="456"/>
      <c r="L212" s="456"/>
      <c r="M212" s="456"/>
      <c r="N212" s="225"/>
      <c r="O212" s="180"/>
      <c r="P212" s="180"/>
      <c r="Q212" s="225"/>
      <c r="R212" s="225"/>
      <c r="S212" s="225"/>
      <c r="T212" s="225"/>
      <c r="U212" s="225"/>
      <c r="V212" s="225"/>
      <c r="W212" s="205"/>
      <c r="X212" s="456"/>
      <c r="Z212" s="225"/>
      <c r="AA212" s="181"/>
      <c r="AB212" s="181"/>
      <c r="AC212" s="181"/>
      <c r="AD212" s="181"/>
      <c r="AE212" s="565"/>
      <c r="AF212" s="548"/>
      <c r="AH212" s="181"/>
      <c r="AI212" s="181"/>
      <c r="AJ212" s="181"/>
      <c r="AL212" s="565"/>
      <c r="AM212" s="474"/>
      <c r="AR212" s="6"/>
      <c r="AS212" s="6"/>
      <c r="AT212" s="6"/>
      <c r="AU212" s="181"/>
      <c r="CB212" s="583"/>
    </row>
    <row r="213" spans="5:81" x14ac:dyDescent="0.2">
      <c r="G213" s="225"/>
      <c r="H213" s="225"/>
      <c r="I213" s="225"/>
      <c r="J213" s="561"/>
      <c r="K213" s="456"/>
      <c r="L213" s="456"/>
      <c r="M213" s="456"/>
      <c r="N213" s="225"/>
      <c r="O213" s="180"/>
      <c r="P213" s="180"/>
      <c r="Q213" s="225"/>
      <c r="R213" s="225"/>
      <c r="S213" s="225"/>
      <c r="T213" s="225"/>
      <c r="U213" s="225"/>
      <c r="V213" s="225"/>
      <c r="W213" s="205"/>
      <c r="X213" s="456"/>
      <c r="Z213" s="225"/>
      <c r="AA213" s="181"/>
      <c r="AB213" s="181"/>
      <c r="AC213" s="181"/>
      <c r="AD213" s="181"/>
      <c r="AE213" s="565"/>
      <c r="AF213" s="548"/>
      <c r="AH213" s="181"/>
      <c r="AI213" s="181"/>
      <c r="AJ213" s="181"/>
      <c r="AL213" s="565"/>
      <c r="AM213" s="474"/>
      <c r="AR213" s="6"/>
      <c r="AS213" s="6"/>
      <c r="AT213" s="6"/>
      <c r="AU213" s="181"/>
      <c r="CB213" s="583"/>
    </row>
    <row r="214" spans="5:81" x14ac:dyDescent="0.2">
      <c r="E214" s="458" t="s">
        <v>448</v>
      </c>
      <c r="G214" s="225"/>
      <c r="H214" s="225"/>
      <c r="I214" s="225"/>
      <c r="J214" s="561"/>
      <c r="K214" s="456"/>
      <c r="L214" s="456"/>
      <c r="M214" s="456"/>
      <c r="N214" s="225"/>
      <c r="O214" s="180"/>
      <c r="P214" s="180"/>
      <c r="Q214" s="225"/>
      <c r="R214" s="225"/>
      <c r="S214" s="225"/>
      <c r="T214" s="225"/>
      <c r="U214" s="225"/>
      <c r="V214" s="225"/>
      <c r="W214" s="205"/>
      <c r="X214" s="456"/>
      <c r="Z214" s="225"/>
      <c r="AA214" s="181"/>
      <c r="AB214" s="181"/>
      <c r="AC214" s="181"/>
      <c r="AD214" s="181"/>
      <c r="AE214" s="565"/>
      <c r="AF214" s="548"/>
      <c r="AH214" s="181"/>
      <c r="AI214" s="181"/>
      <c r="AJ214" s="181"/>
      <c r="AL214" s="565"/>
      <c r="AM214" s="474"/>
      <c r="AR214" s="6"/>
      <c r="AS214" s="6"/>
      <c r="AT214" s="6"/>
      <c r="AU214" s="181"/>
      <c r="CB214" s="583"/>
    </row>
    <row r="215" spans="5:81" ht="45" customHeight="1" thickBot="1" x14ac:dyDescent="0.25">
      <c r="E215" s="249" t="s">
        <v>25</v>
      </c>
      <c r="F215" s="627" t="s">
        <v>605</v>
      </c>
      <c r="G215" s="457" t="s">
        <v>604</v>
      </c>
      <c r="H215" s="628" t="s">
        <v>606</v>
      </c>
      <c r="I215" s="629" t="s">
        <v>607</v>
      </c>
      <c r="J215" s="250" t="s">
        <v>425</v>
      </c>
      <c r="K215" s="251" t="s">
        <v>431</v>
      </c>
      <c r="L215" s="547" t="s">
        <v>426</v>
      </c>
      <c r="M215" s="547"/>
      <c r="N215" s="252" t="s">
        <v>48</v>
      </c>
      <c r="O215" s="631" t="s">
        <v>615</v>
      </c>
      <c r="P215" s="180"/>
      <c r="Q215" s="547" t="s">
        <v>416</v>
      </c>
      <c r="R215" s="631" t="s">
        <v>609</v>
      </c>
      <c r="S215" s="547" t="s">
        <v>446</v>
      </c>
      <c r="T215" s="631" t="s">
        <v>427</v>
      </c>
      <c r="U215" s="547" t="s">
        <v>479</v>
      </c>
      <c r="V215" s="547" t="s">
        <v>478</v>
      </c>
      <c r="W215" s="567" t="s">
        <v>433</v>
      </c>
      <c r="X215" s="562" t="s">
        <v>438</v>
      </c>
      <c r="Z215" s="253" t="s">
        <v>430</v>
      </c>
      <c r="AA215" s="253" t="s">
        <v>477</v>
      </c>
      <c r="AB215" s="181"/>
      <c r="AC215" s="564"/>
      <c r="AD215" s="253" t="s">
        <v>476</v>
      </c>
      <c r="AE215" s="565"/>
      <c r="AF215" s="548"/>
      <c r="AG215" s="564"/>
      <c r="AH215" s="181"/>
      <c r="AI215" s="568" t="s">
        <v>443</v>
      </c>
      <c r="AJ215" s="568" t="s">
        <v>444</v>
      </c>
      <c r="AL215" s="563" t="s">
        <v>276</v>
      </c>
      <c r="AM215" s="563" t="s">
        <v>445</v>
      </c>
      <c r="AO215" s="253" t="s">
        <v>276</v>
      </c>
      <c r="AP215" s="253" t="s">
        <v>445</v>
      </c>
      <c r="AQ215" s="569"/>
      <c r="AR215" s="253" t="s">
        <v>480</v>
      </c>
      <c r="AS215" s="253" t="s">
        <v>474</v>
      </c>
      <c r="AT215" s="253" t="s">
        <v>475</v>
      </c>
      <c r="AU215" s="253" t="s">
        <v>48</v>
      </c>
      <c r="AV215" s="564"/>
      <c r="AW215" s="253" t="s">
        <v>495</v>
      </c>
      <c r="AX215" s="253"/>
      <c r="AY215" s="253" t="s">
        <v>496</v>
      </c>
      <c r="AZ215" s="564"/>
      <c r="BA215" s="578" t="s">
        <v>469</v>
      </c>
      <c r="BB215" s="253" t="s">
        <v>470</v>
      </c>
      <c r="BC215" s="253"/>
      <c r="BD215" s="564"/>
      <c r="BE215" s="578" t="s">
        <v>487</v>
      </c>
      <c r="BF215" s="253" t="s">
        <v>488</v>
      </c>
      <c r="BG215" s="253" t="s">
        <v>486</v>
      </c>
      <c r="BH215" s="253" t="s">
        <v>482</v>
      </c>
      <c r="BI215" s="253" t="s">
        <v>491</v>
      </c>
      <c r="BJ215" s="253" t="s">
        <v>506</v>
      </c>
      <c r="BK215" s="578" t="s">
        <v>489</v>
      </c>
      <c r="BL215" s="253"/>
      <c r="BM215" s="253" t="s">
        <v>490</v>
      </c>
      <c r="BN215" s="253" t="s">
        <v>498</v>
      </c>
      <c r="BO215" s="253" t="s">
        <v>502</v>
      </c>
      <c r="BP215" s="578" t="s">
        <v>471</v>
      </c>
      <c r="BQ215" s="253" t="s">
        <v>472</v>
      </c>
      <c r="BR215" s="253"/>
      <c r="BS215" s="253" t="s">
        <v>481</v>
      </c>
      <c r="BT215" s="253" t="s">
        <v>499</v>
      </c>
      <c r="BU215" s="253" t="s">
        <v>501</v>
      </c>
      <c r="BV215" s="578" t="s">
        <v>497</v>
      </c>
      <c r="BW215" s="253" t="s">
        <v>224</v>
      </c>
      <c r="BX215" s="253" t="s">
        <v>47</v>
      </c>
      <c r="BY215" s="253" t="s">
        <v>500</v>
      </c>
      <c r="BZ215" s="253"/>
      <c r="CB215" s="583"/>
    </row>
    <row r="216" spans="5:81" x14ac:dyDescent="0.2">
      <c r="E216" s="178">
        <v>0.1</v>
      </c>
      <c r="F216" s="225">
        <v>1.0000000000000001E-9</v>
      </c>
      <c r="G216" s="225">
        <f t="shared" ref="G216:G247" si="321">IF(PLOT_TYPE=1, E216/100*Iout2, min_I*EXP(Q216*rr/100))</f>
        <v>2.9999999999999997E-4</v>
      </c>
      <c r="H216" s="225">
        <f t="shared" ref="H216:H247" si="322">F216*Vout</f>
        <v>1.5000000000000002E-8</v>
      </c>
      <c r="I216" s="225">
        <f t="shared" ref="I216:I247" si="323">Vout2*G216</f>
        <v>2.3999999999999998E-3</v>
      </c>
      <c r="J216" s="561">
        <f t="shared" ref="J216:J279" si="324">VIN_max</f>
        <v>24</v>
      </c>
      <c r="K216" s="456">
        <f t="shared" ref="K216:K279" si="325">(S216+Vfwd1)*Nps</f>
        <v>15.25</v>
      </c>
      <c r="L216" s="456">
        <f t="shared" ref="L216:L279" si="326">(Vout+Vfwd1)*Nps+J216</f>
        <v>39.25</v>
      </c>
      <c r="M216" s="456"/>
      <c r="N216" s="225">
        <f t="shared" ref="N216:N279" si="327">(Vout+Vfwd1)*Nps/((Vout+Vfwd1)*Nps+J216)</f>
        <v>0.38853503184713378</v>
      </c>
      <c r="O216" s="180">
        <f t="shared" ref="O216:O247" si="328">N216*J216*Isw_max*0.5*Efficiency*Pout/(Pout+Pout2)</f>
        <v>3.9681251730822482</v>
      </c>
      <c r="P216" s="180">
        <f t="shared" ref="P216:P247" si="329">N216*J216*Isw_max*0.5*Efficiency*(Pout2/Pout_total)</f>
        <v>3.2450445859872605</v>
      </c>
      <c r="Q216" s="225">
        <f t="shared" ref="Q216:Q279" si="330">O216/Vout</f>
        <v>0.26454167820548319</v>
      </c>
      <c r="R216" s="225">
        <f t="shared" ref="R216:R247" si="331">O216/Vout2</f>
        <v>0.49601564663528103</v>
      </c>
      <c r="S216" s="225">
        <f t="shared" ref="S216:S247" si="332">MIN(Vout,O216/F216)</f>
        <v>15</v>
      </c>
      <c r="T216" s="225">
        <f t="shared" ref="T216:T247" si="333">MIN(2*(Vout*F216+Vout2*G216)/(Efficiency*J216*N216), Isw_max)</f>
        <v>5.7195257285974491E-4</v>
      </c>
      <c r="U216" s="225">
        <f t="shared" ref="U216:U279" si="334">L*T216/J216*1000000</f>
        <v>9.5325428809957496E-4</v>
      </c>
      <c r="V216" s="225">
        <f t="shared" ref="V216:V279" si="335">L*T216/K216*1000000</f>
        <v>1.5002034697960524E-3</v>
      </c>
      <c r="W216" s="205">
        <f t="shared" ref="W216:W279" si="336">IF(1/((350000*L)*(1/J216+1/K216))&gt;Isw_min, 350, 0.001/((Isw_min*L)*(1/J216+1/K216)))</f>
        <v>350</v>
      </c>
      <c r="X216" s="456">
        <f t="shared" ref="X216:X279" si="337">MIN(1/(U216+V216)*1000, 350)</f>
        <v>350</v>
      </c>
      <c r="Z216" s="225">
        <f t="shared" ref="Z216:Z279" si="338">1/((W216*1000*L)*(1/J216+1/K216))</f>
        <v>0.66606005459508633</v>
      </c>
      <c r="AA216" s="181">
        <f t="shared" ref="AA216:AA279" si="339">L*Z216/K216*1000000</f>
        <v>1.7470427661510461</v>
      </c>
      <c r="AB216" s="181">
        <f t="shared" ref="AB216:AB247" si="340">0.5*AA216*Z216*Nps*W216/1000*(Pout/(Pout+Pout2))</f>
        <v>0.1328062141535481</v>
      </c>
      <c r="AC216" s="181"/>
      <c r="AD216" s="181">
        <f t="shared" ref="AD216:AD279" si="341">L*Isw_min/K216*1000000</f>
        <v>0.76065573770491812</v>
      </c>
      <c r="AE216" s="565">
        <f t="shared" ref="AE216:AE247" si="342">MAX(10, F216/(0.5*AD216/1000000*Isw_min*Nps)/1000*Pout_total/Pout)</f>
        <v>10</v>
      </c>
      <c r="AF216" s="548">
        <f t="shared" ref="AF216:AF247" si="343">0.5*AD216/1000000*Isw_min*Nps*W216*1000*(Pout/Pout_total)</f>
        <v>3.8603278688524589E-2</v>
      </c>
      <c r="AH216" s="181">
        <f t="shared" ref="AH216:AH247" si="344">SQRT((H216+I216)/(0.5*L*Fsw_DCM))</f>
        <v>1.851645985911685E-2</v>
      </c>
      <c r="AI216" s="181">
        <f t="shared" ref="AI216:AI247" si="345">MAX(IF(F216&gt;AB216,T216,AH216),Isw_min)</f>
        <v>0.28999999999999998</v>
      </c>
      <c r="AJ216" s="181">
        <f t="shared" ref="AJ216:AJ247" si="346">IF(F216&gt;AF216, (AI216-Isw_min)/1.08*0.8+1.2, AE216*0.2/350+1)</f>
        <v>1.0057142857142858</v>
      </c>
      <c r="AL216" s="565">
        <f t="shared" ref="AL216:AL247" si="347">F216*1000</f>
        <v>1.0000000000000002E-6</v>
      </c>
      <c r="AM216" s="474">
        <f t="shared" ref="AM216:AM247" si="348">IF(F216&gt;AF216, X216, AE216)</f>
        <v>10</v>
      </c>
      <c r="AO216">
        <f t="shared" ref="AO216:AO279" si="349">IF(H216&gt;O216, "",AL216)</f>
        <v>1.0000000000000002E-6</v>
      </c>
      <c r="AP216">
        <f t="shared" ref="AP216:AP279" si="350">IF(H216&gt;O216, "",AM216)</f>
        <v>10</v>
      </c>
      <c r="AR216" s="6">
        <f t="shared" si="314"/>
        <v>100</v>
      </c>
      <c r="AS216" s="6">
        <f t="shared" si="305"/>
        <v>0.48333333333333339</v>
      </c>
      <c r="AT216" s="6">
        <f t="shared" si="306"/>
        <v>99.516666666666666</v>
      </c>
      <c r="AU216" s="181">
        <f t="shared" si="307"/>
        <v>4.8333333333333336E-3</v>
      </c>
      <c r="CB216" s="583">
        <f t="shared" ref="CB216:CB247" si="351">IF(ABS(F216-Ioutmax_Vinmax)&lt;Iout/200, AM216, -50)</f>
        <v>-50</v>
      </c>
    </row>
    <row r="217" spans="5:81" x14ac:dyDescent="0.2">
      <c r="E217" s="178">
        <v>1</v>
      </c>
      <c r="F217" s="225">
        <f t="shared" ref="F217:F248" si="352">IF(PLOT_TYPE=1, E217/100*Iout_max, min_I*EXP(O217*rr/100))</f>
        <v>3.0000000000000001E-3</v>
      </c>
      <c r="G217" s="225">
        <f t="shared" si="321"/>
        <v>3.0000000000000001E-3</v>
      </c>
      <c r="H217" s="225">
        <f t="shared" si="322"/>
        <v>4.4999999999999998E-2</v>
      </c>
      <c r="I217" s="225">
        <f t="shared" si="323"/>
        <v>2.4E-2</v>
      </c>
      <c r="J217" s="561">
        <f t="shared" si="324"/>
        <v>24</v>
      </c>
      <c r="K217" s="456">
        <f t="shared" si="325"/>
        <v>15.25</v>
      </c>
      <c r="L217" s="456">
        <f t="shared" si="326"/>
        <v>39.25</v>
      </c>
      <c r="M217" s="456"/>
      <c r="N217" s="225">
        <f t="shared" si="327"/>
        <v>0.38853503184713378</v>
      </c>
      <c r="O217" s="180">
        <f t="shared" si="328"/>
        <v>3.9681251730822482</v>
      </c>
      <c r="P217" s="180">
        <f t="shared" si="329"/>
        <v>3.2450445859872605</v>
      </c>
      <c r="Q217" s="225">
        <f t="shared" si="330"/>
        <v>0.26454167820548319</v>
      </c>
      <c r="R217" s="225">
        <f t="shared" si="331"/>
        <v>0.49601564663528103</v>
      </c>
      <c r="S217" s="225">
        <f t="shared" si="332"/>
        <v>15</v>
      </c>
      <c r="T217" s="225">
        <f t="shared" si="333"/>
        <v>1.644353369763206E-2</v>
      </c>
      <c r="U217" s="225">
        <f t="shared" si="334"/>
        <v>2.7405889496053437E-2</v>
      </c>
      <c r="V217" s="225">
        <f t="shared" si="335"/>
        <v>4.3130580190510324E-2</v>
      </c>
      <c r="W217" s="205">
        <f t="shared" si="336"/>
        <v>350</v>
      </c>
      <c r="X217" s="456">
        <f t="shared" si="337"/>
        <v>350</v>
      </c>
      <c r="Z217" s="225">
        <f t="shared" si="338"/>
        <v>0.66606005459508633</v>
      </c>
      <c r="AA217" s="181">
        <f t="shared" si="339"/>
        <v>1.7470427661510461</v>
      </c>
      <c r="AB217" s="181">
        <f t="shared" si="340"/>
        <v>0.1328062141535481</v>
      </c>
      <c r="AC217" s="181"/>
      <c r="AD217" s="181">
        <f t="shared" si="341"/>
        <v>0.76065573770491812</v>
      </c>
      <c r="AE217" s="565">
        <f t="shared" si="342"/>
        <v>27.199762187871581</v>
      </c>
      <c r="AF217" s="548">
        <f t="shared" si="343"/>
        <v>3.8603278688524589E-2</v>
      </c>
      <c r="AH217" s="181">
        <f t="shared" si="344"/>
        <v>9.9283144879394589E-2</v>
      </c>
      <c r="AI217" s="181">
        <f t="shared" si="345"/>
        <v>0.28999999999999998</v>
      </c>
      <c r="AJ217" s="181">
        <f t="shared" si="346"/>
        <v>1.0155427212502124</v>
      </c>
      <c r="AL217" s="565">
        <f t="shared" si="347"/>
        <v>3</v>
      </c>
      <c r="AM217" s="474">
        <f t="shared" si="348"/>
        <v>27.199762187871581</v>
      </c>
      <c r="AO217">
        <f t="shared" si="349"/>
        <v>3</v>
      </c>
      <c r="AP217">
        <f t="shared" si="350"/>
        <v>27.199762187871581</v>
      </c>
      <c r="AR217" s="6">
        <f t="shared" si="314"/>
        <v>36.765027322404372</v>
      </c>
      <c r="AS217" s="6">
        <f t="shared" si="305"/>
        <v>0.48333333333333339</v>
      </c>
      <c r="AT217" s="6">
        <f t="shared" si="306"/>
        <v>36.281693989071037</v>
      </c>
      <c r="AU217" s="181">
        <f t="shared" si="307"/>
        <v>1.3146551724137933E-2</v>
      </c>
      <c r="CB217" s="583">
        <f t="shared" si="351"/>
        <v>-50</v>
      </c>
    </row>
    <row r="218" spans="5:81" x14ac:dyDescent="0.2">
      <c r="E218" s="178">
        <v>2</v>
      </c>
      <c r="F218" s="225">
        <f t="shared" si="352"/>
        <v>6.0000000000000001E-3</v>
      </c>
      <c r="G218" s="225">
        <f t="shared" si="321"/>
        <v>6.0000000000000001E-3</v>
      </c>
      <c r="H218" s="225">
        <f t="shared" si="322"/>
        <v>0.09</v>
      </c>
      <c r="I218" s="225">
        <f t="shared" si="323"/>
        <v>4.8000000000000001E-2</v>
      </c>
      <c r="J218" s="561">
        <f t="shared" si="324"/>
        <v>24</v>
      </c>
      <c r="K218" s="456">
        <f t="shared" si="325"/>
        <v>15.25</v>
      </c>
      <c r="L218" s="456">
        <f t="shared" si="326"/>
        <v>39.25</v>
      </c>
      <c r="M218" s="456"/>
      <c r="N218" s="225">
        <f t="shared" si="327"/>
        <v>0.38853503184713378</v>
      </c>
      <c r="O218" s="180">
        <f t="shared" si="328"/>
        <v>3.9681251730822482</v>
      </c>
      <c r="P218" s="180">
        <f t="shared" si="329"/>
        <v>3.2450445859872605</v>
      </c>
      <c r="Q218" s="225">
        <f t="shared" si="330"/>
        <v>0.26454167820548319</v>
      </c>
      <c r="R218" s="225">
        <f t="shared" si="331"/>
        <v>0.49601564663528103</v>
      </c>
      <c r="S218" s="225">
        <f t="shared" si="332"/>
        <v>15</v>
      </c>
      <c r="T218" s="225">
        <f t="shared" si="333"/>
        <v>3.2887067395264119E-2</v>
      </c>
      <c r="U218" s="225">
        <f t="shared" si="334"/>
        <v>5.4811778992106874E-2</v>
      </c>
      <c r="V218" s="225">
        <f t="shared" si="335"/>
        <v>8.6261160381020649E-2</v>
      </c>
      <c r="W218" s="205">
        <f t="shared" si="336"/>
        <v>350</v>
      </c>
      <c r="X218" s="456">
        <f t="shared" si="337"/>
        <v>350</v>
      </c>
      <c r="Z218" s="225">
        <f t="shared" si="338"/>
        <v>0.66606005459508633</v>
      </c>
      <c r="AA218" s="181">
        <f t="shared" si="339"/>
        <v>1.7470427661510461</v>
      </c>
      <c r="AB218" s="181">
        <f t="shared" si="340"/>
        <v>0.1328062141535481</v>
      </c>
      <c r="AC218" s="181"/>
      <c r="AD218" s="181">
        <f t="shared" si="341"/>
        <v>0.76065573770491812</v>
      </c>
      <c r="AE218" s="565">
        <f t="shared" si="342"/>
        <v>54.399524375743162</v>
      </c>
      <c r="AF218" s="548">
        <f t="shared" si="343"/>
        <v>3.8603278688524589E-2</v>
      </c>
      <c r="AH218" s="181">
        <f t="shared" si="344"/>
        <v>0.14040757000349274</v>
      </c>
      <c r="AI218" s="181">
        <f t="shared" si="345"/>
        <v>0.28999999999999998</v>
      </c>
      <c r="AJ218" s="181">
        <f t="shared" si="346"/>
        <v>1.0310854425004248</v>
      </c>
      <c r="AL218" s="565">
        <f t="shared" si="347"/>
        <v>6</v>
      </c>
      <c r="AM218" s="474">
        <f t="shared" si="348"/>
        <v>54.399524375743162</v>
      </c>
      <c r="AO218">
        <f t="shared" si="349"/>
        <v>6</v>
      </c>
      <c r="AP218">
        <f t="shared" si="350"/>
        <v>54.399524375743162</v>
      </c>
      <c r="AR218" s="6">
        <f t="shared" si="314"/>
        <v>18.382513661202186</v>
      </c>
      <c r="AS218" s="6">
        <f t="shared" si="305"/>
        <v>0.48333333333333339</v>
      </c>
      <c r="AT218" s="6">
        <f t="shared" si="306"/>
        <v>17.899180327868851</v>
      </c>
      <c r="AU218" s="181">
        <f t="shared" si="307"/>
        <v>2.6293103448275866E-2</v>
      </c>
      <c r="CB218" s="583">
        <f t="shared" si="351"/>
        <v>-50</v>
      </c>
    </row>
    <row r="219" spans="5:81" x14ac:dyDescent="0.2">
      <c r="E219" s="178">
        <v>3</v>
      </c>
      <c r="F219" s="225">
        <f t="shared" si="352"/>
        <v>8.9999999999999993E-3</v>
      </c>
      <c r="G219" s="225">
        <f t="shared" si="321"/>
        <v>8.9999999999999993E-3</v>
      </c>
      <c r="H219" s="225">
        <f t="shared" si="322"/>
        <v>0.13499999999999998</v>
      </c>
      <c r="I219" s="225">
        <f t="shared" si="323"/>
        <v>7.1999999999999995E-2</v>
      </c>
      <c r="J219" s="561">
        <f t="shared" si="324"/>
        <v>24</v>
      </c>
      <c r="K219" s="456">
        <f t="shared" si="325"/>
        <v>15.25</v>
      </c>
      <c r="L219" s="456">
        <f t="shared" si="326"/>
        <v>39.25</v>
      </c>
      <c r="M219" s="456"/>
      <c r="N219" s="225">
        <f t="shared" si="327"/>
        <v>0.38853503184713378</v>
      </c>
      <c r="O219" s="180">
        <f t="shared" si="328"/>
        <v>3.9681251730822482</v>
      </c>
      <c r="P219" s="180">
        <f t="shared" si="329"/>
        <v>3.2450445859872605</v>
      </c>
      <c r="Q219" s="225">
        <f t="shared" si="330"/>
        <v>0.26454167820548319</v>
      </c>
      <c r="R219" s="225">
        <f t="shared" si="331"/>
        <v>0.49601564663528103</v>
      </c>
      <c r="S219" s="225">
        <f t="shared" si="332"/>
        <v>15</v>
      </c>
      <c r="T219" s="225">
        <f t="shared" si="333"/>
        <v>4.9330601092896158E-2</v>
      </c>
      <c r="U219" s="225">
        <f t="shared" si="334"/>
        <v>8.2217668488160256E-2</v>
      </c>
      <c r="V219" s="225">
        <f t="shared" si="335"/>
        <v>0.12939174057153091</v>
      </c>
      <c r="W219" s="205">
        <f t="shared" si="336"/>
        <v>350</v>
      </c>
      <c r="X219" s="456">
        <f t="shared" si="337"/>
        <v>350</v>
      </c>
      <c r="Z219" s="225">
        <f t="shared" si="338"/>
        <v>0.66606005459508633</v>
      </c>
      <c r="AA219" s="181">
        <f t="shared" si="339"/>
        <v>1.7470427661510461</v>
      </c>
      <c r="AB219" s="181">
        <f t="shared" si="340"/>
        <v>0.1328062141535481</v>
      </c>
      <c r="AC219" s="181"/>
      <c r="AD219" s="181">
        <f t="shared" si="341"/>
        <v>0.76065573770491812</v>
      </c>
      <c r="AE219" s="565">
        <f t="shared" si="342"/>
        <v>81.599286563614726</v>
      </c>
      <c r="AF219" s="548">
        <f t="shared" si="343"/>
        <v>3.8603278688524589E-2</v>
      </c>
      <c r="AH219" s="181">
        <f t="shared" si="344"/>
        <v>0.17196345126633322</v>
      </c>
      <c r="AI219" s="181">
        <f t="shared" si="345"/>
        <v>0.28999999999999998</v>
      </c>
      <c r="AJ219" s="181">
        <f t="shared" si="346"/>
        <v>1.0466281637506369</v>
      </c>
      <c r="AL219" s="565">
        <f t="shared" si="347"/>
        <v>9</v>
      </c>
      <c r="AM219" s="474">
        <f t="shared" si="348"/>
        <v>81.599286563614726</v>
      </c>
      <c r="AO219">
        <f t="shared" si="349"/>
        <v>9</v>
      </c>
      <c r="AP219">
        <f t="shared" si="350"/>
        <v>81.599286563614726</v>
      </c>
      <c r="AR219" s="6">
        <f t="shared" si="314"/>
        <v>12.255009107468128</v>
      </c>
      <c r="AS219" s="6">
        <f t="shared" si="305"/>
        <v>0.48333333333333339</v>
      </c>
      <c r="AT219" s="6">
        <f t="shared" si="306"/>
        <v>11.771675774134795</v>
      </c>
      <c r="AU219" s="181">
        <f t="shared" si="307"/>
        <v>3.9439655172413782E-2</v>
      </c>
      <c r="CB219" s="583">
        <f t="shared" si="351"/>
        <v>-50</v>
      </c>
    </row>
    <row r="220" spans="5:81" x14ac:dyDescent="0.2">
      <c r="E220" s="178">
        <v>4</v>
      </c>
      <c r="F220" s="225">
        <f t="shared" si="352"/>
        <v>1.2E-2</v>
      </c>
      <c r="G220" s="225">
        <f t="shared" si="321"/>
        <v>1.2E-2</v>
      </c>
      <c r="H220" s="225">
        <f t="shared" si="322"/>
        <v>0.18</v>
      </c>
      <c r="I220" s="225">
        <f t="shared" si="323"/>
        <v>9.6000000000000002E-2</v>
      </c>
      <c r="J220" s="561">
        <f t="shared" si="324"/>
        <v>24</v>
      </c>
      <c r="K220" s="456">
        <f t="shared" si="325"/>
        <v>15.25</v>
      </c>
      <c r="L220" s="456">
        <f t="shared" si="326"/>
        <v>39.25</v>
      </c>
      <c r="M220" s="456"/>
      <c r="N220" s="225">
        <f t="shared" si="327"/>
        <v>0.38853503184713378</v>
      </c>
      <c r="O220" s="180">
        <f t="shared" si="328"/>
        <v>3.9681251730822482</v>
      </c>
      <c r="P220" s="180">
        <f t="shared" si="329"/>
        <v>3.2450445859872605</v>
      </c>
      <c r="Q220" s="225">
        <f t="shared" si="330"/>
        <v>0.26454167820548319</v>
      </c>
      <c r="R220" s="225">
        <f t="shared" si="331"/>
        <v>0.49601564663528103</v>
      </c>
      <c r="S220" s="225">
        <f t="shared" si="332"/>
        <v>15</v>
      </c>
      <c r="T220" s="225">
        <f t="shared" si="333"/>
        <v>6.5774134790528238E-2</v>
      </c>
      <c r="U220" s="225">
        <f t="shared" si="334"/>
        <v>0.10962355798421375</v>
      </c>
      <c r="V220" s="225">
        <f t="shared" si="335"/>
        <v>0.1725223207620413</v>
      </c>
      <c r="W220" s="205">
        <f t="shared" si="336"/>
        <v>350</v>
      </c>
      <c r="X220" s="456">
        <f t="shared" si="337"/>
        <v>350</v>
      </c>
      <c r="Z220" s="225">
        <f t="shared" si="338"/>
        <v>0.66606005459508633</v>
      </c>
      <c r="AA220" s="181">
        <f t="shared" si="339"/>
        <v>1.7470427661510461</v>
      </c>
      <c r="AB220" s="181">
        <f t="shared" si="340"/>
        <v>0.1328062141535481</v>
      </c>
      <c r="AC220" s="181"/>
      <c r="AD220" s="181">
        <f t="shared" si="341"/>
        <v>0.76065573770491812</v>
      </c>
      <c r="AE220" s="565">
        <f t="shared" si="342"/>
        <v>108.79904875148632</v>
      </c>
      <c r="AF220" s="548">
        <f t="shared" si="343"/>
        <v>3.8603278688524589E-2</v>
      </c>
      <c r="AH220" s="181">
        <f t="shared" si="344"/>
        <v>0.19856628975878918</v>
      </c>
      <c r="AI220" s="181">
        <f t="shared" si="345"/>
        <v>0.28999999999999998</v>
      </c>
      <c r="AJ220" s="181">
        <f t="shared" si="346"/>
        <v>1.0621708850008493</v>
      </c>
      <c r="AL220" s="565">
        <f t="shared" si="347"/>
        <v>12</v>
      </c>
      <c r="AM220" s="474">
        <f t="shared" si="348"/>
        <v>108.79904875148632</v>
      </c>
      <c r="AO220">
        <f t="shared" si="349"/>
        <v>12</v>
      </c>
      <c r="AP220">
        <f t="shared" si="350"/>
        <v>108.79904875148632</v>
      </c>
      <c r="AR220" s="6">
        <f t="shared" si="314"/>
        <v>9.1912568306010929</v>
      </c>
      <c r="AS220" s="6">
        <f t="shared" si="305"/>
        <v>0.48333333333333339</v>
      </c>
      <c r="AT220" s="6">
        <f t="shared" si="306"/>
        <v>8.7079234972677604</v>
      </c>
      <c r="AU220" s="181">
        <f t="shared" si="307"/>
        <v>5.2586206896551732E-2</v>
      </c>
      <c r="CB220" s="583">
        <f t="shared" si="351"/>
        <v>-50</v>
      </c>
    </row>
    <row r="221" spans="5:81" x14ac:dyDescent="0.2">
      <c r="E221" s="178">
        <v>5</v>
      </c>
      <c r="F221" s="225">
        <f t="shared" si="352"/>
        <v>1.4999999999999999E-2</v>
      </c>
      <c r="G221" s="225">
        <f t="shared" si="321"/>
        <v>1.4999999999999999E-2</v>
      </c>
      <c r="H221" s="225">
        <f t="shared" si="322"/>
        <v>0.22499999999999998</v>
      </c>
      <c r="I221" s="225">
        <f t="shared" si="323"/>
        <v>0.12</v>
      </c>
      <c r="J221" s="561">
        <f t="shared" si="324"/>
        <v>24</v>
      </c>
      <c r="K221" s="456">
        <f t="shared" si="325"/>
        <v>15.25</v>
      </c>
      <c r="L221" s="456">
        <f t="shared" si="326"/>
        <v>39.25</v>
      </c>
      <c r="M221" s="456"/>
      <c r="N221" s="225">
        <f t="shared" si="327"/>
        <v>0.38853503184713378</v>
      </c>
      <c r="O221" s="180">
        <f t="shared" si="328"/>
        <v>3.9681251730822482</v>
      </c>
      <c r="P221" s="180">
        <f t="shared" si="329"/>
        <v>3.2450445859872605</v>
      </c>
      <c r="Q221" s="225">
        <f t="shared" si="330"/>
        <v>0.26454167820548319</v>
      </c>
      <c r="R221" s="225">
        <f t="shared" si="331"/>
        <v>0.49601564663528103</v>
      </c>
      <c r="S221" s="225">
        <f t="shared" si="332"/>
        <v>15</v>
      </c>
      <c r="T221" s="225">
        <f t="shared" si="333"/>
        <v>8.2217668488160284E-2</v>
      </c>
      <c r="U221" s="225">
        <f t="shared" si="334"/>
        <v>0.13702944748026713</v>
      </c>
      <c r="V221" s="225">
        <f t="shared" si="335"/>
        <v>0.21565290095255157</v>
      </c>
      <c r="W221" s="205">
        <f t="shared" si="336"/>
        <v>350</v>
      </c>
      <c r="X221" s="456">
        <f t="shared" si="337"/>
        <v>350</v>
      </c>
      <c r="Z221" s="225">
        <f t="shared" si="338"/>
        <v>0.66606005459508633</v>
      </c>
      <c r="AA221" s="181">
        <f t="shared" si="339"/>
        <v>1.7470427661510461</v>
      </c>
      <c r="AB221" s="181">
        <f t="shared" si="340"/>
        <v>0.1328062141535481</v>
      </c>
      <c r="AC221" s="181"/>
      <c r="AD221" s="181">
        <f t="shared" si="341"/>
        <v>0.76065573770491812</v>
      </c>
      <c r="AE221" s="565">
        <f t="shared" si="342"/>
        <v>135.9988109393579</v>
      </c>
      <c r="AF221" s="548">
        <f t="shared" si="343"/>
        <v>3.8603278688524589E-2</v>
      </c>
      <c r="AH221" s="181">
        <f t="shared" si="344"/>
        <v>0.22200386097028643</v>
      </c>
      <c r="AI221" s="181">
        <f t="shared" si="345"/>
        <v>0.28999999999999998</v>
      </c>
      <c r="AJ221" s="181">
        <f t="shared" si="346"/>
        <v>1.0777136062510617</v>
      </c>
      <c r="AL221" s="565">
        <f t="shared" si="347"/>
        <v>15</v>
      </c>
      <c r="AM221" s="474">
        <f t="shared" si="348"/>
        <v>135.9988109393579</v>
      </c>
      <c r="AO221">
        <f t="shared" si="349"/>
        <v>15</v>
      </c>
      <c r="AP221">
        <f t="shared" si="350"/>
        <v>135.9988109393579</v>
      </c>
      <c r="AR221" s="6">
        <f t="shared" si="314"/>
        <v>7.3530054644808747</v>
      </c>
      <c r="AS221" s="6">
        <f t="shared" si="305"/>
        <v>0.48333333333333339</v>
      </c>
      <c r="AT221" s="6">
        <f t="shared" si="306"/>
        <v>6.8696721311475413</v>
      </c>
      <c r="AU221" s="181">
        <f t="shared" si="307"/>
        <v>6.5732758620689655E-2</v>
      </c>
      <c r="CB221" s="583">
        <f t="shared" si="351"/>
        <v>-50</v>
      </c>
    </row>
    <row r="222" spans="5:81" x14ac:dyDescent="0.2">
      <c r="E222" s="178">
        <v>6</v>
      </c>
      <c r="F222" s="225">
        <f t="shared" si="352"/>
        <v>1.7999999999999999E-2</v>
      </c>
      <c r="G222" s="225">
        <f t="shared" si="321"/>
        <v>1.7999999999999999E-2</v>
      </c>
      <c r="H222" s="225">
        <f t="shared" si="322"/>
        <v>0.26999999999999996</v>
      </c>
      <c r="I222" s="225">
        <f t="shared" si="323"/>
        <v>0.14399999999999999</v>
      </c>
      <c r="J222" s="561">
        <f t="shared" si="324"/>
        <v>24</v>
      </c>
      <c r="K222" s="456">
        <f t="shared" si="325"/>
        <v>15.25</v>
      </c>
      <c r="L222" s="456">
        <f t="shared" si="326"/>
        <v>39.25</v>
      </c>
      <c r="M222" s="456"/>
      <c r="N222" s="225">
        <f t="shared" si="327"/>
        <v>0.38853503184713378</v>
      </c>
      <c r="O222" s="180">
        <f t="shared" si="328"/>
        <v>3.9681251730822482</v>
      </c>
      <c r="P222" s="180">
        <f t="shared" si="329"/>
        <v>3.2450445859872605</v>
      </c>
      <c r="Q222" s="225">
        <f t="shared" si="330"/>
        <v>0.26454167820548319</v>
      </c>
      <c r="R222" s="225">
        <f t="shared" si="331"/>
        <v>0.49601564663528103</v>
      </c>
      <c r="S222" s="225">
        <f t="shared" si="332"/>
        <v>15</v>
      </c>
      <c r="T222" s="225">
        <f t="shared" si="333"/>
        <v>9.8661202185792315E-2</v>
      </c>
      <c r="U222" s="225">
        <f t="shared" si="334"/>
        <v>0.16443533697632051</v>
      </c>
      <c r="V222" s="225">
        <f t="shared" si="335"/>
        <v>0.25878348114306182</v>
      </c>
      <c r="W222" s="205">
        <f t="shared" si="336"/>
        <v>350</v>
      </c>
      <c r="X222" s="456">
        <f t="shared" si="337"/>
        <v>350</v>
      </c>
      <c r="Z222" s="225">
        <f t="shared" si="338"/>
        <v>0.66606005459508633</v>
      </c>
      <c r="AA222" s="181">
        <f t="shared" si="339"/>
        <v>1.7470427661510461</v>
      </c>
      <c r="AB222" s="181">
        <f t="shared" si="340"/>
        <v>0.1328062141535481</v>
      </c>
      <c r="AC222" s="181"/>
      <c r="AD222" s="181">
        <f t="shared" si="341"/>
        <v>0.76065573770491812</v>
      </c>
      <c r="AE222" s="565">
        <f t="shared" si="342"/>
        <v>163.19857312722945</v>
      </c>
      <c r="AF222" s="548">
        <f t="shared" si="343"/>
        <v>3.8603278688524589E-2</v>
      </c>
      <c r="AH222" s="181">
        <f t="shared" si="344"/>
        <v>0.24319304501333322</v>
      </c>
      <c r="AI222" s="181">
        <f t="shared" si="345"/>
        <v>0.28999999999999998</v>
      </c>
      <c r="AJ222" s="181">
        <f t="shared" si="346"/>
        <v>1.0932563275012739</v>
      </c>
      <c r="AL222" s="565">
        <f t="shared" si="347"/>
        <v>18</v>
      </c>
      <c r="AM222" s="474">
        <f t="shared" si="348"/>
        <v>163.19857312722945</v>
      </c>
      <c r="AO222">
        <f t="shared" si="349"/>
        <v>18</v>
      </c>
      <c r="AP222">
        <f t="shared" si="350"/>
        <v>163.19857312722945</v>
      </c>
      <c r="AR222" s="6">
        <f t="shared" si="314"/>
        <v>6.127504553734064</v>
      </c>
      <c r="AS222" s="6">
        <f t="shared" si="305"/>
        <v>0.48333333333333339</v>
      </c>
      <c r="AT222" s="6">
        <f t="shared" si="306"/>
        <v>5.6441712204007306</v>
      </c>
      <c r="AU222" s="181">
        <f t="shared" si="307"/>
        <v>7.8879310344827563E-2</v>
      </c>
      <c r="CB222" s="583">
        <f t="shared" si="351"/>
        <v>-50</v>
      </c>
    </row>
    <row r="223" spans="5:81" x14ac:dyDescent="0.2">
      <c r="E223" s="178">
        <v>7</v>
      </c>
      <c r="F223" s="225">
        <f t="shared" si="352"/>
        <v>2.1000000000000001E-2</v>
      </c>
      <c r="G223" s="225">
        <f t="shared" si="321"/>
        <v>2.1000000000000001E-2</v>
      </c>
      <c r="H223" s="225">
        <f t="shared" si="322"/>
        <v>0.315</v>
      </c>
      <c r="I223" s="225">
        <f t="shared" si="323"/>
        <v>0.16800000000000001</v>
      </c>
      <c r="J223" s="561">
        <f t="shared" si="324"/>
        <v>24</v>
      </c>
      <c r="K223" s="456">
        <f t="shared" si="325"/>
        <v>15.25</v>
      </c>
      <c r="L223" s="456">
        <f t="shared" si="326"/>
        <v>39.25</v>
      </c>
      <c r="M223" s="456"/>
      <c r="N223" s="225">
        <f t="shared" si="327"/>
        <v>0.38853503184713378</v>
      </c>
      <c r="O223" s="180">
        <f t="shared" si="328"/>
        <v>3.9681251730822482</v>
      </c>
      <c r="P223" s="180">
        <f t="shared" si="329"/>
        <v>3.2450445859872605</v>
      </c>
      <c r="Q223" s="225">
        <f t="shared" si="330"/>
        <v>0.26454167820548319</v>
      </c>
      <c r="R223" s="225">
        <f t="shared" si="331"/>
        <v>0.49601564663528103</v>
      </c>
      <c r="S223" s="225">
        <f t="shared" si="332"/>
        <v>15</v>
      </c>
      <c r="T223" s="225">
        <f t="shared" si="333"/>
        <v>0.11510473588342439</v>
      </c>
      <c r="U223" s="225">
        <f t="shared" si="334"/>
        <v>0.191841226472374</v>
      </c>
      <c r="V223" s="225">
        <f t="shared" si="335"/>
        <v>0.30191406133357218</v>
      </c>
      <c r="W223" s="205">
        <f t="shared" si="336"/>
        <v>350</v>
      </c>
      <c r="X223" s="456">
        <f t="shared" si="337"/>
        <v>350</v>
      </c>
      <c r="Z223" s="225">
        <f t="shared" si="338"/>
        <v>0.66606005459508633</v>
      </c>
      <c r="AA223" s="181">
        <f t="shared" si="339"/>
        <v>1.7470427661510461</v>
      </c>
      <c r="AB223" s="181">
        <f t="shared" si="340"/>
        <v>0.1328062141535481</v>
      </c>
      <c r="AC223" s="181"/>
      <c r="AD223" s="181">
        <f t="shared" si="341"/>
        <v>0.76065573770491812</v>
      </c>
      <c r="AE223" s="565">
        <f t="shared" si="342"/>
        <v>190.39833531510109</v>
      </c>
      <c r="AF223" s="548">
        <f t="shared" si="343"/>
        <v>3.8603278688524589E-2</v>
      </c>
      <c r="AH223" s="181">
        <f t="shared" si="344"/>
        <v>0.26267851073127391</v>
      </c>
      <c r="AI223" s="181">
        <f t="shared" si="345"/>
        <v>0.28999999999999998</v>
      </c>
      <c r="AJ223" s="181">
        <f t="shared" si="346"/>
        <v>1.1087990487514863</v>
      </c>
      <c r="AL223" s="565">
        <f t="shared" si="347"/>
        <v>21</v>
      </c>
      <c r="AM223" s="474">
        <f t="shared" si="348"/>
        <v>190.39833531510109</v>
      </c>
      <c r="AO223">
        <f t="shared" si="349"/>
        <v>21</v>
      </c>
      <c r="AP223">
        <f t="shared" si="350"/>
        <v>190.39833531510109</v>
      </c>
      <c r="AR223" s="6">
        <f t="shared" si="314"/>
        <v>5.2521467603434813</v>
      </c>
      <c r="AS223" s="6">
        <f t="shared" si="305"/>
        <v>0.48333333333333339</v>
      </c>
      <c r="AT223" s="6">
        <f t="shared" si="306"/>
        <v>4.7688134270101479</v>
      </c>
      <c r="AU223" s="181">
        <f t="shared" si="307"/>
        <v>9.2025862068965542E-2</v>
      </c>
      <c r="CB223" s="583">
        <f t="shared" si="351"/>
        <v>-50</v>
      </c>
    </row>
    <row r="224" spans="5:81" x14ac:dyDescent="0.2">
      <c r="E224" s="178">
        <v>8</v>
      </c>
      <c r="F224" s="225">
        <f t="shared" si="352"/>
        <v>2.4E-2</v>
      </c>
      <c r="G224" s="225">
        <f t="shared" si="321"/>
        <v>2.4E-2</v>
      </c>
      <c r="H224" s="225">
        <f t="shared" si="322"/>
        <v>0.36</v>
      </c>
      <c r="I224" s="225">
        <f t="shared" si="323"/>
        <v>0.192</v>
      </c>
      <c r="J224" s="561">
        <f t="shared" si="324"/>
        <v>24</v>
      </c>
      <c r="K224" s="456">
        <f t="shared" si="325"/>
        <v>15.25</v>
      </c>
      <c r="L224" s="456">
        <f t="shared" si="326"/>
        <v>39.25</v>
      </c>
      <c r="M224" s="456"/>
      <c r="N224" s="225">
        <f t="shared" si="327"/>
        <v>0.38853503184713378</v>
      </c>
      <c r="O224" s="180">
        <f t="shared" si="328"/>
        <v>3.9681251730822482</v>
      </c>
      <c r="P224" s="180">
        <f t="shared" si="329"/>
        <v>3.2450445859872605</v>
      </c>
      <c r="Q224" s="225">
        <f t="shared" si="330"/>
        <v>0.26454167820548319</v>
      </c>
      <c r="R224" s="225">
        <f t="shared" si="331"/>
        <v>0.49601564663528103</v>
      </c>
      <c r="S224" s="225">
        <f t="shared" si="332"/>
        <v>15</v>
      </c>
      <c r="T224" s="225">
        <f t="shared" si="333"/>
        <v>0.13154826958105648</v>
      </c>
      <c r="U224" s="225">
        <f t="shared" si="334"/>
        <v>0.2192471159684275</v>
      </c>
      <c r="V224" s="225">
        <f t="shared" si="335"/>
        <v>0.3450446415240826</v>
      </c>
      <c r="W224" s="205">
        <f t="shared" si="336"/>
        <v>350</v>
      </c>
      <c r="X224" s="456">
        <f t="shared" si="337"/>
        <v>350</v>
      </c>
      <c r="Z224" s="225">
        <f t="shared" si="338"/>
        <v>0.66606005459508633</v>
      </c>
      <c r="AA224" s="181">
        <f t="shared" si="339"/>
        <v>1.7470427661510461</v>
      </c>
      <c r="AB224" s="181">
        <f t="shared" si="340"/>
        <v>0.1328062141535481</v>
      </c>
      <c r="AC224" s="181"/>
      <c r="AD224" s="181">
        <f t="shared" si="341"/>
        <v>0.76065573770491812</v>
      </c>
      <c r="AE224" s="565">
        <f t="shared" si="342"/>
        <v>217.59809750297265</v>
      </c>
      <c r="AF224" s="548">
        <f t="shared" si="343"/>
        <v>3.8603278688524589E-2</v>
      </c>
      <c r="AH224" s="181">
        <f t="shared" si="344"/>
        <v>0.28081514000698549</v>
      </c>
      <c r="AI224" s="181">
        <f t="shared" si="345"/>
        <v>0.28999999999999998</v>
      </c>
      <c r="AJ224" s="181">
        <f t="shared" si="346"/>
        <v>1.1243417700016987</v>
      </c>
      <c r="AL224" s="565">
        <f t="shared" si="347"/>
        <v>24</v>
      </c>
      <c r="AM224" s="474">
        <f t="shared" si="348"/>
        <v>217.59809750297265</v>
      </c>
      <c r="AO224">
        <f t="shared" si="349"/>
        <v>24</v>
      </c>
      <c r="AP224">
        <f t="shared" si="350"/>
        <v>217.59809750297265</v>
      </c>
      <c r="AR224" s="6">
        <f t="shared" si="314"/>
        <v>4.5956284153005464</v>
      </c>
      <c r="AS224" s="6">
        <f t="shared" si="305"/>
        <v>0.48333333333333339</v>
      </c>
      <c r="AT224" s="6">
        <f t="shared" si="306"/>
        <v>4.1122950819672131</v>
      </c>
      <c r="AU224" s="181">
        <f t="shared" si="307"/>
        <v>0.10517241379310346</v>
      </c>
      <c r="CB224" s="583">
        <f t="shared" si="351"/>
        <v>-50</v>
      </c>
    </row>
    <row r="225" spans="5:80" x14ac:dyDescent="0.2">
      <c r="E225" s="178">
        <v>9</v>
      </c>
      <c r="F225" s="225">
        <f t="shared" si="352"/>
        <v>2.7E-2</v>
      </c>
      <c r="G225" s="225">
        <f t="shared" si="321"/>
        <v>2.7E-2</v>
      </c>
      <c r="H225" s="225">
        <f t="shared" si="322"/>
        <v>0.40499999999999997</v>
      </c>
      <c r="I225" s="225">
        <f t="shared" si="323"/>
        <v>0.216</v>
      </c>
      <c r="J225" s="561">
        <f t="shared" si="324"/>
        <v>24</v>
      </c>
      <c r="K225" s="456">
        <f t="shared" si="325"/>
        <v>15.25</v>
      </c>
      <c r="L225" s="456">
        <f t="shared" si="326"/>
        <v>39.25</v>
      </c>
      <c r="M225" s="456"/>
      <c r="N225" s="225">
        <f t="shared" si="327"/>
        <v>0.38853503184713378</v>
      </c>
      <c r="O225" s="180">
        <f t="shared" si="328"/>
        <v>3.9681251730822482</v>
      </c>
      <c r="P225" s="180">
        <f t="shared" si="329"/>
        <v>3.2450445859872605</v>
      </c>
      <c r="Q225" s="225">
        <f t="shared" si="330"/>
        <v>0.26454167820548319</v>
      </c>
      <c r="R225" s="225">
        <f t="shared" si="331"/>
        <v>0.49601564663528103</v>
      </c>
      <c r="S225" s="225">
        <f t="shared" si="332"/>
        <v>15</v>
      </c>
      <c r="T225" s="225">
        <f t="shared" si="333"/>
        <v>0.14799180327868852</v>
      </c>
      <c r="U225" s="225">
        <f t="shared" si="334"/>
        <v>0.24665300546448088</v>
      </c>
      <c r="V225" s="225">
        <f t="shared" si="335"/>
        <v>0.3881752217145929</v>
      </c>
      <c r="W225" s="205">
        <f t="shared" si="336"/>
        <v>350</v>
      </c>
      <c r="X225" s="456">
        <f t="shared" si="337"/>
        <v>350</v>
      </c>
      <c r="Z225" s="225">
        <f t="shared" si="338"/>
        <v>0.66606005459508633</v>
      </c>
      <c r="AA225" s="181">
        <f t="shared" si="339"/>
        <v>1.7470427661510461</v>
      </c>
      <c r="AB225" s="181">
        <f t="shared" si="340"/>
        <v>0.1328062141535481</v>
      </c>
      <c r="AC225" s="181"/>
      <c r="AD225" s="181">
        <f t="shared" si="341"/>
        <v>0.76065573770491812</v>
      </c>
      <c r="AE225" s="565">
        <f t="shared" si="342"/>
        <v>244.79785969084423</v>
      </c>
      <c r="AF225" s="548">
        <f t="shared" si="343"/>
        <v>3.8603278688524589E-2</v>
      </c>
      <c r="AH225" s="181">
        <f t="shared" si="344"/>
        <v>0.29784943463818375</v>
      </c>
      <c r="AI225" s="181">
        <f t="shared" si="345"/>
        <v>0.29784943463818375</v>
      </c>
      <c r="AJ225" s="181">
        <f t="shared" si="346"/>
        <v>1.139884491251911</v>
      </c>
      <c r="AL225" s="565">
        <f t="shared" si="347"/>
        <v>27</v>
      </c>
      <c r="AM225" s="474">
        <f t="shared" si="348"/>
        <v>244.79785969084423</v>
      </c>
      <c r="AO225">
        <f t="shared" si="349"/>
        <v>27</v>
      </c>
      <c r="AP225">
        <f t="shared" si="350"/>
        <v>244.79785969084423</v>
      </c>
      <c r="AR225" s="6">
        <f t="shared" si="314"/>
        <v>4.0850030358227079</v>
      </c>
      <c r="AS225" s="6">
        <f t="shared" si="305"/>
        <v>0.49641572439697301</v>
      </c>
      <c r="AT225" s="6">
        <f t="shared" si="306"/>
        <v>3.5885873114257349</v>
      </c>
      <c r="AU225" s="181">
        <f t="shared" si="307"/>
        <v>0.121521506849259</v>
      </c>
      <c r="CB225" s="583">
        <f t="shared" si="351"/>
        <v>-50</v>
      </c>
    </row>
    <row r="226" spans="5:80" x14ac:dyDescent="0.2">
      <c r="E226" s="178">
        <v>10</v>
      </c>
      <c r="F226" s="225">
        <f t="shared" si="352"/>
        <v>0.03</v>
      </c>
      <c r="G226" s="225">
        <f t="shared" si="321"/>
        <v>0.03</v>
      </c>
      <c r="H226" s="225">
        <f t="shared" si="322"/>
        <v>0.44999999999999996</v>
      </c>
      <c r="I226" s="225">
        <f t="shared" si="323"/>
        <v>0.24</v>
      </c>
      <c r="J226" s="561">
        <f t="shared" si="324"/>
        <v>24</v>
      </c>
      <c r="K226" s="456">
        <f t="shared" si="325"/>
        <v>15.25</v>
      </c>
      <c r="L226" s="456">
        <f t="shared" si="326"/>
        <v>39.25</v>
      </c>
      <c r="M226" s="456"/>
      <c r="N226" s="225">
        <f t="shared" si="327"/>
        <v>0.38853503184713378</v>
      </c>
      <c r="O226" s="180">
        <f t="shared" si="328"/>
        <v>3.9681251730822482</v>
      </c>
      <c r="P226" s="180">
        <f t="shared" si="329"/>
        <v>3.2450445859872605</v>
      </c>
      <c r="Q226" s="225">
        <f t="shared" si="330"/>
        <v>0.26454167820548319</v>
      </c>
      <c r="R226" s="225">
        <f t="shared" si="331"/>
        <v>0.49601564663528103</v>
      </c>
      <c r="S226" s="225">
        <f t="shared" si="332"/>
        <v>15</v>
      </c>
      <c r="T226" s="225">
        <f t="shared" si="333"/>
        <v>0.16443533697632057</v>
      </c>
      <c r="U226" s="225">
        <f t="shared" si="334"/>
        <v>0.27405889496053426</v>
      </c>
      <c r="V226" s="225">
        <f t="shared" si="335"/>
        <v>0.43130580190510315</v>
      </c>
      <c r="W226" s="205">
        <f t="shared" si="336"/>
        <v>350</v>
      </c>
      <c r="X226" s="456">
        <f t="shared" si="337"/>
        <v>350</v>
      </c>
      <c r="Z226" s="225">
        <f t="shared" si="338"/>
        <v>0.66606005459508633</v>
      </c>
      <c r="AA226" s="181">
        <f t="shared" si="339"/>
        <v>1.7470427661510461</v>
      </c>
      <c r="AB226" s="181">
        <f t="shared" si="340"/>
        <v>0.1328062141535481</v>
      </c>
      <c r="AC226" s="181"/>
      <c r="AD226" s="181">
        <f t="shared" si="341"/>
        <v>0.76065573770491812</v>
      </c>
      <c r="AE226" s="565">
        <f t="shared" si="342"/>
        <v>271.99762187871579</v>
      </c>
      <c r="AF226" s="548">
        <f t="shared" si="343"/>
        <v>3.8603278688524589E-2</v>
      </c>
      <c r="AH226" s="181">
        <f t="shared" si="344"/>
        <v>0.31396087108337012</v>
      </c>
      <c r="AI226" s="181">
        <f t="shared" si="345"/>
        <v>0.31396087108337012</v>
      </c>
      <c r="AJ226" s="181">
        <f t="shared" si="346"/>
        <v>1.1554272125021234</v>
      </c>
      <c r="AL226" s="565">
        <f t="shared" si="347"/>
        <v>30</v>
      </c>
      <c r="AM226" s="474">
        <f t="shared" si="348"/>
        <v>271.99762187871579</v>
      </c>
      <c r="AO226">
        <f t="shared" si="349"/>
        <v>30</v>
      </c>
      <c r="AP226">
        <f t="shared" si="350"/>
        <v>271.99762187871579</v>
      </c>
      <c r="AR226" s="6">
        <f t="shared" si="314"/>
        <v>3.6765027322404373</v>
      </c>
      <c r="AS226" s="6">
        <f t="shared" si="305"/>
        <v>0.52326811847228361</v>
      </c>
      <c r="AT226" s="6">
        <f t="shared" si="306"/>
        <v>3.1532346137681539</v>
      </c>
      <c r="AU226" s="181">
        <f t="shared" si="307"/>
        <v>0.14232768382941127</v>
      </c>
      <c r="CB226" s="583">
        <f t="shared" si="351"/>
        <v>-50</v>
      </c>
    </row>
    <row r="227" spans="5:80" x14ac:dyDescent="0.2">
      <c r="E227" s="178">
        <v>11</v>
      </c>
      <c r="F227" s="225">
        <f t="shared" si="352"/>
        <v>3.3000000000000002E-2</v>
      </c>
      <c r="G227" s="225">
        <f t="shared" si="321"/>
        <v>3.3000000000000002E-2</v>
      </c>
      <c r="H227" s="225">
        <f t="shared" si="322"/>
        <v>0.495</v>
      </c>
      <c r="I227" s="225">
        <f t="shared" si="323"/>
        <v>0.26400000000000001</v>
      </c>
      <c r="J227" s="561">
        <f t="shared" si="324"/>
        <v>24</v>
      </c>
      <c r="K227" s="456">
        <f t="shared" si="325"/>
        <v>15.25</v>
      </c>
      <c r="L227" s="456">
        <f t="shared" si="326"/>
        <v>39.25</v>
      </c>
      <c r="M227" s="456"/>
      <c r="N227" s="225">
        <f t="shared" si="327"/>
        <v>0.38853503184713378</v>
      </c>
      <c r="O227" s="180">
        <f t="shared" si="328"/>
        <v>3.9681251730822482</v>
      </c>
      <c r="P227" s="180">
        <f t="shared" si="329"/>
        <v>3.2450445859872605</v>
      </c>
      <c r="Q227" s="225">
        <f t="shared" si="330"/>
        <v>0.26454167820548319</v>
      </c>
      <c r="R227" s="225">
        <f t="shared" si="331"/>
        <v>0.49601564663528103</v>
      </c>
      <c r="S227" s="225">
        <f t="shared" si="332"/>
        <v>15</v>
      </c>
      <c r="T227" s="225">
        <f t="shared" si="333"/>
        <v>0.18087887067395261</v>
      </c>
      <c r="U227" s="225">
        <f t="shared" si="334"/>
        <v>0.3014647844565877</v>
      </c>
      <c r="V227" s="225">
        <f t="shared" si="335"/>
        <v>0.47443638209561345</v>
      </c>
      <c r="W227" s="205">
        <f t="shared" si="336"/>
        <v>350</v>
      </c>
      <c r="X227" s="456">
        <f t="shared" si="337"/>
        <v>350</v>
      </c>
      <c r="Z227" s="225">
        <f t="shared" si="338"/>
        <v>0.66606005459508633</v>
      </c>
      <c r="AA227" s="181">
        <f t="shared" si="339"/>
        <v>1.7470427661510461</v>
      </c>
      <c r="AB227" s="181">
        <f t="shared" si="340"/>
        <v>0.1328062141535481</v>
      </c>
      <c r="AC227" s="181"/>
      <c r="AD227" s="181">
        <f t="shared" si="341"/>
        <v>0.76065573770491812</v>
      </c>
      <c r="AE227" s="565">
        <f t="shared" si="342"/>
        <v>299.1973840665874</v>
      </c>
      <c r="AF227" s="548">
        <f t="shared" si="343"/>
        <v>3.8603278688524589E-2</v>
      </c>
      <c r="AH227" s="181">
        <f t="shared" si="344"/>
        <v>0.32928493957144689</v>
      </c>
      <c r="AI227" s="181">
        <f t="shared" si="345"/>
        <v>0.32928493957144689</v>
      </c>
      <c r="AJ227" s="181">
        <f t="shared" si="346"/>
        <v>1.1709699337523356</v>
      </c>
      <c r="AL227" s="565">
        <f t="shared" si="347"/>
        <v>33</v>
      </c>
      <c r="AM227" s="474">
        <f t="shared" si="348"/>
        <v>299.1973840665874</v>
      </c>
      <c r="AO227">
        <f t="shared" si="349"/>
        <v>33</v>
      </c>
      <c r="AP227">
        <f t="shared" si="350"/>
        <v>299.1973840665874</v>
      </c>
      <c r="AR227" s="6">
        <f t="shared" si="314"/>
        <v>3.3422752111276699</v>
      </c>
      <c r="AS227" s="6">
        <f t="shared" si="305"/>
        <v>0.54880823261907818</v>
      </c>
      <c r="AT227" s="6">
        <f t="shared" si="306"/>
        <v>2.7934669785085919</v>
      </c>
      <c r="AU227" s="181">
        <f t="shared" si="307"/>
        <v>0.16420198755383539</v>
      </c>
      <c r="CB227" s="583">
        <f t="shared" si="351"/>
        <v>-50</v>
      </c>
    </row>
    <row r="228" spans="5:80" x14ac:dyDescent="0.2">
      <c r="E228" s="178">
        <v>12</v>
      </c>
      <c r="F228" s="225">
        <f t="shared" si="352"/>
        <v>3.5999999999999997E-2</v>
      </c>
      <c r="G228" s="225">
        <f t="shared" si="321"/>
        <v>3.5999999999999997E-2</v>
      </c>
      <c r="H228" s="225">
        <f t="shared" si="322"/>
        <v>0.53999999999999992</v>
      </c>
      <c r="I228" s="225">
        <f t="shared" si="323"/>
        <v>0.28799999999999998</v>
      </c>
      <c r="J228" s="561">
        <f t="shared" si="324"/>
        <v>24</v>
      </c>
      <c r="K228" s="456">
        <f t="shared" si="325"/>
        <v>15.25</v>
      </c>
      <c r="L228" s="456">
        <f t="shared" si="326"/>
        <v>39.25</v>
      </c>
      <c r="M228" s="456"/>
      <c r="N228" s="225">
        <f t="shared" si="327"/>
        <v>0.38853503184713378</v>
      </c>
      <c r="O228" s="180">
        <f t="shared" si="328"/>
        <v>3.9681251730822482</v>
      </c>
      <c r="P228" s="180">
        <f t="shared" si="329"/>
        <v>3.2450445859872605</v>
      </c>
      <c r="Q228" s="225">
        <f t="shared" si="330"/>
        <v>0.26454167820548319</v>
      </c>
      <c r="R228" s="225">
        <f t="shared" si="331"/>
        <v>0.49601564663528103</v>
      </c>
      <c r="S228" s="225">
        <f t="shared" si="332"/>
        <v>15</v>
      </c>
      <c r="T228" s="225">
        <f t="shared" si="333"/>
        <v>0.19732240437158463</v>
      </c>
      <c r="U228" s="225">
        <f t="shared" si="334"/>
        <v>0.32887067395264102</v>
      </c>
      <c r="V228" s="225">
        <f t="shared" si="335"/>
        <v>0.51756696228612364</v>
      </c>
      <c r="W228" s="205">
        <f t="shared" si="336"/>
        <v>350</v>
      </c>
      <c r="X228" s="456">
        <f t="shared" si="337"/>
        <v>350</v>
      </c>
      <c r="Z228" s="225">
        <f t="shared" si="338"/>
        <v>0.66606005459508633</v>
      </c>
      <c r="AA228" s="181">
        <f t="shared" si="339"/>
        <v>1.7470427661510461</v>
      </c>
      <c r="AB228" s="181">
        <f t="shared" si="340"/>
        <v>0.1328062141535481</v>
      </c>
      <c r="AC228" s="181"/>
      <c r="AD228" s="181">
        <f t="shared" si="341"/>
        <v>0.76065573770491812</v>
      </c>
      <c r="AE228" s="565">
        <f t="shared" si="342"/>
        <v>326.3971462544589</v>
      </c>
      <c r="AF228" s="548">
        <f t="shared" si="343"/>
        <v>3.8603278688524589E-2</v>
      </c>
      <c r="AH228" s="181">
        <f t="shared" si="344"/>
        <v>0.34392690253266645</v>
      </c>
      <c r="AI228" s="181">
        <f t="shared" si="345"/>
        <v>0.34392690253266645</v>
      </c>
      <c r="AJ228" s="181">
        <f t="shared" si="346"/>
        <v>1.186512655002548</v>
      </c>
      <c r="AL228" s="565">
        <f t="shared" si="347"/>
        <v>36</v>
      </c>
      <c r="AM228" s="474">
        <f t="shared" si="348"/>
        <v>326.3971462544589</v>
      </c>
      <c r="AO228">
        <f t="shared" si="349"/>
        <v>36</v>
      </c>
      <c r="AP228">
        <f t="shared" si="350"/>
        <v>326.3971462544589</v>
      </c>
      <c r="AR228" s="6">
        <f t="shared" si="314"/>
        <v>3.063752276867032</v>
      </c>
      <c r="AS228" s="6">
        <f t="shared" si="305"/>
        <v>0.57321150422111078</v>
      </c>
      <c r="AT228" s="6">
        <f t="shared" si="306"/>
        <v>2.4905407726459212</v>
      </c>
      <c r="AU228" s="181">
        <f t="shared" si="307"/>
        <v>0.18709459917799626</v>
      </c>
      <c r="CB228" s="583">
        <f t="shared" si="351"/>
        <v>-50</v>
      </c>
    </row>
    <row r="229" spans="5:80" x14ac:dyDescent="0.2">
      <c r="E229" s="178">
        <v>13</v>
      </c>
      <c r="F229" s="225">
        <f t="shared" si="352"/>
        <v>3.9E-2</v>
      </c>
      <c r="G229" s="225">
        <f t="shared" si="321"/>
        <v>3.9E-2</v>
      </c>
      <c r="H229" s="225">
        <f t="shared" si="322"/>
        <v>0.58499999999999996</v>
      </c>
      <c r="I229" s="225">
        <f t="shared" si="323"/>
        <v>0.312</v>
      </c>
      <c r="J229" s="561">
        <f t="shared" si="324"/>
        <v>24</v>
      </c>
      <c r="K229" s="456">
        <f t="shared" si="325"/>
        <v>15.25</v>
      </c>
      <c r="L229" s="456">
        <f t="shared" si="326"/>
        <v>39.25</v>
      </c>
      <c r="M229" s="456"/>
      <c r="N229" s="225">
        <f t="shared" si="327"/>
        <v>0.38853503184713378</v>
      </c>
      <c r="O229" s="180">
        <f t="shared" si="328"/>
        <v>3.9681251730822482</v>
      </c>
      <c r="P229" s="180">
        <f t="shared" si="329"/>
        <v>3.2450445859872605</v>
      </c>
      <c r="Q229" s="225">
        <f t="shared" si="330"/>
        <v>0.26454167820548319</v>
      </c>
      <c r="R229" s="225">
        <f t="shared" si="331"/>
        <v>0.49601564663528103</v>
      </c>
      <c r="S229" s="225">
        <f t="shared" si="332"/>
        <v>15</v>
      </c>
      <c r="T229" s="225">
        <f t="shared" si="333"/>
        <v>0.21376593806921673</v>
      </c>
      <c r="U229" s="225">
        <f t="shared" si="334"/>
        <v>0.35627656344869457</v>
      </c>
      <c r="V229" s="225">
        <f t="shared" si="335"/>
        <v>0.56069754247663406</v>
      </c>
      <c r="W229" s="205">
        <f t="shared" si="336"/>
        <v>350</v>
      </c>
      <c r="X229" s="456">
        <f t="shared" si="337"/>
        <v>350</v>
      </c>
      <c r="Z229" s="225">
        <f t="shared" si="338"/>
        <v>0.66606005459508633</v>
      </c>
      <c r="AA229" s="181">
        <f t="shared" si="339"/>
        <v>1.7470427661510461</v>
      </c>
      <c r="AB229" s="181">
        <f t="shared" si="340"/>
        <v>0.1328062141535481</v>
      </c>
      <c r="AC229" s="181"/>
      <c r="AD229" s="181">
        <f t="shared" si="341"/>
        <v>0.76065573770491812</v>
      </c>
      <c r="AE229" s="565">
        <f t="shared" si="342"/>
        <v>353.59690844233057</v>
      </c>
      <c r="AF229" s="548">
        <f t="shared" si="343"/>
        <v>3.8603278688524589E-2</v>
      </c>
      <c r="AH229" s="181">
        <f t="shared" si="344"/>
        <v>0.35797046965197721</v>
      </c>
      <c r="AI229" s="181">
        <f t="shared" si="345"/>
        <v>0.35797046965197721</v>
      </c>
      <c r="AJ229" s="181">
        <f t="shared" si="346"/>
        <v>1.2503484960385016</v>
      </c>
      <c r="AL229" s="565">
        <f t="shared" si="347"/>
        <v>39</v>
      </c>
      <c r="AM229" s="474">
        <f t="shared" si="348"/>
        <v>350</v>
      </c>
      <c r="AO229">
        <f t="shared" si="349"/>
        <v>39</v>
      </c>
      <c r="AP229">
        <f t="shared" si="350"/>
        <v>350</v>
      </c>
      <c r="AR229" s="6">
        <f t="shared" si="314"/>
        <v>2.8571428571428572</v>
      </c>
      <c r="AS229" s="6">
        <f t="shared" si="305"/>
        <v>0.59661744941996198</v>
      </c>
      <c r="AT229" s="6">
        <f t="shared" si="306"/>
        <v>2.2605254077228953</v>
      </c>
      <c r="AU229" s="181">
        <f t="shared" si="307"/>
        <v>0.20881610729698669</v>
      </c>
      <c r="CB229" s="583">
        <f t="shared" si="351"/>
        <v>-50</v>
      </c>
    </row>
    <row r="230" spans="5:80" x14ac:dyDescent="0.2">
      <c r="E230" s="178">
        <v>14</v>
      </c>
      <c r="F230" s="225">
        <f t="shared" si="352"/>
        <v>4.2000000000000003E-2</v>
      </c>
      <c r="G230" s="225">
        <f t="shared" si="321"/>
        <v>4.2000000000000003E-2</v>
      </c>
      <c r="H230" s="225">
        <f t="shared" si="322"/>
        <v>0.63</v>
      </c>
      <c r="I230" s="225">
        <f t="shared" si="323"/>
        <v>0.33600000000000002</v>
      </c>
      <c r="J230" s="561">
        <f t="shared" si="324"/>
        <v>24</v>
      </c>
      <c r="K230" s="456">
        <f t="shared" si="325"/>
        <v>15.25</v>
      </c>
      <c r="L230" s="456">
        <f t="shared" si="326"/>
        <v>39.25</v>
      </c>
      <c r="M230" s="456"/>
      <c r="N230" s="225">
        <f t="shared" si="327"/>
        <v>0.38853503184713378</v>
      </c>
      <c r="O230" s="180">
        <f t="shared" si="328"/>
        <v>3.9681251730822482</v>
      </c>
      <c r="P230" s="180">
        <f t="shared" si="329"/>
        <v>3.2450445859872605</v>
      </c>
      <c r="Q230" s="225">
        <f t="shared" si="330"/>
        <v>0.26454167820548319</v>
      </c>
      <c r="R230" s="225">
        <f t="shared" si="331"/>
        <v>0.49601564663528103</v>
      </c>
      <c r="S230" s="225">
        <f t="shared" si="332"/>
        <v>15</v>
      </c>
      <c r="T230" s="225">
        <f t="shared" si="333"/>
        <v>0.23020947176684878</v>
      </c>
      <c r="U230" s="225">
        <f t="shared" si="334"/>
        <v>0.38368245294474801</v>
      </c>
      <c r="V230" s="225">
        <f t="shared" si="335"/>
        <v>0.60382812266714436</v>
      </c>
      <c r="W230" s="205">
        <f t="shared" si="336"/>
        <v>350</v>
      </c>
      <c r="X230" s="456">
        <f t="shared" si="337"/>
        <v>350</v>
      </c>
      <c r="Z230" s="225">
        <f t="shared" si="338"/>
        <v>0.66606005459508633</v>
      </c>
      <c r="AA230" s="181">
        <f t="shared" si="339"/>
        <v>1.7470427661510461</v>
      </c>
      <c r="AB230" s="181">
        <f t="shared" si="340"/>
        <v>0.1328062141535481</v>
      </c>
      <c r="AC230" s="181"/>
      <c r="AD230" s="181">
        <f t="shared" si="341"/>
        <v>0.76065573770491812</v>
      </c>
      <c r="AE230" s="565">
        <f t="shared" si="342"/>
        <v>380.79667063020219</v>
      </c>
      <c r="AF230" s="548">
        <f t="shared" si="343"/>
        <v>3.8603278688524589E-2</v>
      </c>
      <c r="AH230" s="181">
        <f t="shared" si="344"/>
        <v>0.37148351242013417</v>
      </c>
      <c r="AI230" s="181">
        <f t="shared" si="345"/>
        <v>0.37148351242013417</v>
      </c>
      <c r="AJ230" s="181">
        <f t="shared" si="346"/>
        <v>1.2603581573482474</v>
      </c>
      <c r="AL230" s="565">
        <f t="shared" si="347"/>
        <v>42</v>
      </c>
      <c r="AM230" s="474">
        <f t="shared" si="348"/>
        <v>350</v>
      </c>
      <c r="AO230">
        <f t="shared" si="349"/>
        <v>42</v>
      </c>
      <c r="AP230">
        <f t="shared" si="350"/>
        <v>350</v>
      </c>
      <c r="AR230" s="6">
        <f t="shared" si="314"/>
        <v>2.8571428571428572</v>
      </c>
      <c r="AS230" s="6">
        <f t="shared" si="305"/>
        <v>0.61913918736689033</v>
      </c>
      <c r="AT230" s="6">
        <f t="shared" si="306"/>
        <v>2.2380036697759671</v>
      </c>
      <c r="AU230" s="181">
        <f t="shared" si="307"/>
        <v>0.21669871557841161</v>
      </c>
      <c r="CB230" s="583">
        <f t="shared" si="351"/>
        <v>-50</v>
      </c>
    </row>
    <row r="231" spans="5:80" x14ac:dyDescent="0.2">
      <c r="E231" s="178">
        <v>15</v>
      </c>
      <c r="F231" s="225">
        <f t="shared" si="352"/>
        <v>4.4999999999999998E-2</v>
      </c>
      <c r="G231" s="225">
        <f t="shared" si="321"/>
        <v>4.4999999999999998E-2</v>
      </c>
      <c r="H231" s="225">
        <f t="shared" si="322"/>
        <v>0.67499999999999993</v>
      </c>
      <c r="I231" s="225">
        <f t="shared" si="323"/>
        <v>0.36</v>
      </c>
      <c r="J231" s="561">
        <f t="shared" si="324"/>
        <v>24</v>
      </c>
      <c r="K231" s="456">
        <f t="shared" si="325"/>
        <v>15.25</v>
      </c>
      <c r="L231" s="456">
        <f t="shared" si="326"/>
        <v>39.25</v>
      </c>
      <c r="M231" s="456"/>
      <c r="N231" s="225">
        <f t="shared" si="327"/>
        <v>0.38853503184713378</v>
      </c>
      <c r="O231" s="180">
        <f t="shared" si="328"/>
        <v>3.9681251730822482</v>
      </c>
      <c r="P231" s="180">
        <f t="shared" si="329"/>
        <v>3.2450445859872605</v>
      </c>
      <c r="Q231" s="225">
        <f t="shared" si="330"/>
        <v>0.26454167820548319</v>
      </c>
      <c r="R231" s="225">
        <f t="shared" si="331"/>
        <v>0.49601564663528103</v>
      </c>
      <c r="S231" s="225">
        <f t="shared" si="332"/>
        <v>15</v>
      </c>
      <c r="T231" s="225">
        <f t="shared" si="333"/>
        <v>0.24665300546448082</v>
      </c>
      <c r="U231" s="225">
        <f t="shared" si="334"/>
        <v>0.41108834244080145</v>
      </c>
      <c r="V231" s="225">
        <f t="shared" si="335"/>
        <v>0.64695870285765467</v>
      </c>
      <c r="W231" s="205">
        <f t="shared" si="336"/>
        <v>350</v>
      </c>
      <c r="X231" s="456">
        <f t="shared" si="337"/>
        <v>350</v>
      </c>
      <c r="Z231" s="225">
        <f t="shared" si="338"/>
        <v>0.66606005459508633</v>
      </c>
      <c r="AA231" s="181">
        <f t="shared" si="339"/>
        <v>1.7470427661510461</v>
      </c>
      <c r="AB231" s="181">
        <f t="shared" si="340"/>
        <v>0.1328062141535481</v>
      </c>
      <c r="AC231" s="181"/>
      <c r="AD231" s="181">
        <f t="shared" si="341"/>
        <v>0.76065573770491812</v>
      </c>
      <c r="AE231" s="565">
        <f t="shared" si="342"/>
        <v>407.99643281807374</v>
      </c>
      <c r="AF231" s="548">
        <f t="shared" si="343"/>
        <v>3.8603278688524589E-2</v>
      </c>
      <c r="AH231" s="181">
        <f t="shared" si="344"/>
        <v>0.3845219666769934</v>
      </c>
      <c r="AI231" s="181">
        <f t="shared" si="345"/>
        <v>0.3845219666769934</v>
      </c>
      <c r="AJ231" s="181">
        <f t="shared" si="346"/>
        <v>1.2700162716125876</v>
      </c>
      <c r="AL231" s="565">
        <f t="shared" si="347"/>
        <v>45</v>
      </c>
      <c r="AM231" s="474">
        <f t="shared" si="348"/>
        <v>350</v>
      </c>
      <c r="AO231">
        <f t="shared" si="349"/>
        <v>45</v>
      </c>
      <c r="AP231">
        <f t="shared" si="350"/>
        <v>350</v>
      </c>
      <c r="AR231" s="6">
        <f t="shared" si="314"/>
        <v>2.8571428571428572</v>
      </c>
      <c r="AS231" s="6">
        <f t="shared" si="305"/>
        <v>0.64086994446165568</v>
      </c>
      <c r="AT231" s="6">
        <f t="shared" si="306"/>
        <v>2.2162729126812017</v>
      </c>
      <c r="AU231" s="181">
        <f t="shared" si="307"/>
        <v>0.22430448056157948</v>
      </c>
      <c r="CB231" s="583">
        <f t="shared" si="351"/>
        <v>-50</v>
      </c>
    </row>
    <row r="232" spans="5:80" x14ac:dyDescent="0.2">
      <c r="E232" s="178">
        <v>16</v>
      </c>
      <c r="F232" s="225">
        <f t="shared" si="352"/>
        <v>4.8000000000000001E-2</v>
      </c>
      <c r="G232" s="225">
        <f t="shared" si="321"/>
        <v>4.8000000000000001E-2</v>
      </c>
      <c r="H232" s="225">
        <f t="shared" si="322"/>
        <v>0.72</v>
      </c>
      <c r="I232" s="225">
        <f t="shared" si="323"/>
        <v>0.38400000000000001</v>
      </c>
      <c r="J232" s="561">
        <f t="shared" si="324"/>
        <v>24</v>
      </c>
      <c r="K232" s="456">
        <f t="shared" si="325"/>
        <v>15.25</v>
      </c>
      <c r="L232" s="456">
        <f t="shared" si="326"/>
        <v>39.25</v>
      </c>
      <c r="M232" s="456"/>
      <c r="N232" s="225">
        <f t="shared" si="327"/>
        <v>0.38853503184713378</v>
      </c>
      <c r="O232" s="180">
        <f t="shared" si="328"/>
        <v>3.9681251730822482</v>
      </c>
      <c r="P232" s="180">
        <f t="shared" si="329"/>
        <v>3.2450445859872605</v>
      </c>
      <c r="Q232" s="225">
        <f t="shared" si="330"/>
        <v>0.26454167820548319</v>
      </c>
      <c r="R232" s="225">
        <f t="shared" si="331"/>
        <v>0.49601564663528103</v>
      </c>
      <c r="S232" s="225">
        <f t="shared" si="332"/>
        <v>15</v>
      </c>
      <c r="T232" s="225">
        <f t="shared" si="333"/>
        <v>0.26309653916211295</v>
      </c>
      <c r="U232" s="225">
        <f t="shared" si="334"/>
        <v>0.43849423193685499</v>
      </c>
      <c r="V232" s="225">
        <f t="shared" si="335"/>
        <v>0.69008928304816519</v>
      </c>
      <c r="W232" s="205">
        <f t="shared" si="336"/>
        <v>350</v>
      </c>
      <c r="X232" s="456">
        <f t="shared" si="337"/>
        <v>350</v>
      </c>
      <c r="Z232" s="225">
        <f t="shared" si="338"/>
        <v>0.66606005459508633</v>
      </c>
      <c r="AA232" s="181">
        <f t="shared" si="339"/>
        <v>1.7470427661510461</v>
      </c>
      <c r="AB232" s="181">
        <f t="shared" si="340"/>
        <v>0.1328062141535481</v>
      </c>
      <c r="AC232" s="181"/>
      <c r="AD232" s="181">
        <f t="shared" si="341"/>
        <v>0.76065573770491812</v>
      </c>
      <c r="AE232" s="565">
        <f t="shared" si="342"/>
        <v>435.1961950059453</v>
      </c>
      <c r="AF232" s="548">
        <f t="shared" si="343"/>
        <v>3.8603278688524589E-2</v>
      </c>
      <c r="AH232" s="181">
        <f t="shared" si="344"/>
        <v>0.39713257951757835</v>
      </c>
      <c r="AI232" s="181">
        <f t="shared" si="345"/>
        <v>0.39713257951757835</v>
      </c>
      <c r="AJ232" s="181">
        <f t="shared" si="346"/>
        <v>1.2793574663093172</v>
      </c>
      <c r="AL232" s="565">
        <f t="shared" si="347"/>
        <v>48</v>
      </c>
      <c r="AM232" s="474">
        <f t="shared" si="348"/>
        <v>350</v>
      </c>
      <c r="AO232">
        <f t="shared" si="349"/>
        <v>48</v>
      </c>
      <c r="AP232">
        <f t="shared" si="350"/>
        <v>350</v>
      </c>
      <c r="AR232" s="6">
        <f t="shared" si="314"/>
        <v>2.8571428571428572</v>
      </c>
      <c r="AS232" s="6">
        <f t="shared" si="305"/>
        <v>0.66188763252929728</v>
      </c>
      <c r="AT232" s="6">
        <f t="shared" si="306"/>
        <v>2.1952552246135602</v>
      </c>
      <c r="AU232" s="181">
        <f t="shared" si="307"/>
        <v>0.23166067138525404</v>
      </c>
      <c r="CB232" s="583">
        <f t="shared" si="351"/>
        <v>-50</v>
      </c>
    </row>
    <row r="233" spans="5:80" x14ac:dyDescent="0.2">
      <c r="E233" s="178">
        <v>17</v>
      </c>
      <c r="F233" s="225">
        <f t="shared" si="352"/>
        <v>5.1000000000000004E-2</v>
      </c>
      <c r="G233" s="225">
        <f t="shared" si="321"/>
        <v>5.1000000000000004E-2</v>
      </c>
      <c r="H233" s="225">
        <f t="shared" si="322"/>
        <v>0.76500000000000001</v>
      </c>
      <c r="I233" s="225">
        <f t="shared" si="323"/>
        <v>0.40800000000000003</v>
      </c>
      <c r="J233" s="561">
        <f t="shared" si="324"/>
        <v>24</v>
      </c>
      <c r="K233" s="456">
        <f t="shared" si="325"/>
        <v>15.25</v>
      </c>
      <c r="L233" s="456">
        <f t="shared" si="326"/>
        <v>39.25</v>
      </c>
      <c r="M233" s="456"/>
      <c r="N233" s="225">
        <f t="shared" si="327"/>
        <v>0.38853503184713378</v>
      </c>
      <c r="O233" s="180">
        <f t="shared" si="328"/>
        <v>3.9681251730822482</v>
      </c>
      <c r="P233" s="180">
        <f t="shared" si="329"/>
        <v>3.2450445859872605</v>
      </c>
      <c r="Q233" s="225">
        <f t="shared" si="330"/>
        <v>0.26454167820548319</v>
      </c>
      <c r="R233" s="225">
        <f t="shared" si="331"/>
        <v>0.49601564663528103</v>
      </c>
      <c r="S233" s="225">
        <f t="shared" si="332"/>
        <v>15</v>
      </c>
      <c r="T233" s="225">
        <f t="shared" si="333"/>
        <v>0.27954007285974497</v>
      </c>
      <c r="U233" s="225">
        <f t="shared" si="334"/>
        <v>0.46590012143290832</v>
      </c>
      <c r="V233" s="225">
        <f t="shared" si="335"/>
        <v>0.73321986323867538</v>
      </c>
      <c r="W233" s="205">
        <f t="shared" si="336"/>
        <v>350</v>
      </c>
      <c r="X233" s="456">
        <f t="shared" si="337"/>
        <v>350</v>
      </c>
      <c r="Z233" s="225">
        <f t="shared" si="338"/>
        <v>0.66606005459508633</v>
      </c>
      <c r="AA233" s="181">
        <f t="shared" si="339"/>
        <v>1.7470427661510461</v>
      </c>
      <c r="AB233" s="181">
        <f t="shared" si="340"/>
        <v>0.1328062141535481</v>
      </c>
      <c r="AC233" s="181"/>
      <c r="AD233" s="181">
        <f t="shared" si="341"/>
        <v>0.76065573770491812</v>
      </c>
      <c r="AE233" s="565">
        <f t="shared" si="342"/>
        <v>462.39595719381691</v>
      </c>
      <c r="AF233" s="548">
        <f t="shared" si="343"/>
        <v>3.8603278688524589E-2</v>
      </c>
      <c r="AH233" s="181">
        <f t="shared" si="344"/>
        <v>0.40935489318124507</v>
      </c>
      <c r="AI233" s="181">
        <f t="shared" si="345"/>
        <v>0.40935489318124507</v>
      </c>
      <c r="AJ233" s="181">
        <f t="shared" si="346"/>
        <v>1.2884110319861075</v>
      </c>
      <c r="AL233" s="565">
        <f t="shared" si="347"/>
        <v>51.000000000000007</v>
      </c>
      <c r="AM233" s="474">
        <f t="shared" si="348"/>
        <v>350</v>
      </c>
      <c r="AO233">
        <f t="shared" si="349"/>
        <v>51.000000000000007</v>
      </c>
      <c r="AP233">
        <f t="shared" si="350"/>
        <v>350</v>
      </c>
      <c r="AR233" s="6">
        <f t="shared" si="314"/>
        <v>2.8571428571428572</v>
      </c>
      <c r="AS233" s="6">
        <f t="shared" si="305"/>
        <v>0.68225815530207512</v>
      </c>
      <c r="AT233" s="6">
        <f t="shared" si="306"/>
        <v>2.174884701840782</v>
      </c>
      <c r="AU233" s="181">
        <f t="shared" si="307"/>
        <v>0.23879035435572629</v>
      </c>
      <c r="CB233" s="583">
        <f t="shared" si="351"/>
        <v>-50</v>
      </c>
    </row>
    <row r="234" spans="5:80" x14ac:dyDescent="0.2">
      <c r="E234" s="178">
        <v>18</v>
      </c>
      <c r="F234" s="225">
        <f t="shared" si="352"/>
        <v>5.3999999999999999E-2</v>
      </c>
      <c r="G234" s="225">
        <f t="shared" si="321"/>
        <v>5.3999999999999999E-2</v>
      </c>
      <c r="H234" s="225">
        <f t="shared" si="322"/>
        <v>0.80999999999999994</v>
      </c>
      <c r="I234" s="225">
        <f t="shared" si="323"/>
        <v>0.432</v>
      </c>
      <c r="J234" s="561">
        <f t="shared" si="324"/>
        <v>24</v>
      </c>
      <c r="K234" s="456">
        <f t="shared" si="325"/>
        <v>15.25</v>
      </c>
      <c r="L234" s="456">
        <f t="shared" si="326"/>
        <v>39.25</v>
      </c>
      <c r="M234" s="456"/>
      <c r="N234" s="225">
        <f t="shared" si="327"/>
        <v>0.38853503184713378</v>
      </c>
      <c r="O234" s="180">
        <f t="shared" si="328"/>
        <v>3.9681251730822482</v>
      </c>
      <c r="P234" s="180">
        <f t="shared" si="329"/>
        <v>3.2450445859872605</v>
      </c>
      <c r="Q234" s="225">
        <f t="shared" si="330"/>
        <v>0.26454167820548319</v>
      </c>
      <c r="R234" s="225">
        <f t="shared" si="331"/>
        <v>0.49601564663528103</v>
      </c>
      <c r="S234" s="225">
        <f t="shared" si="332"/>
        <v>15</v>
      </c>
      <c r="T234" s="225">
        <f t="shared" si="333"/>
        <v>0.29598360655737704</v>
      </c>
      <c r="U234" s="225">
        <f t="shared" si="334"/>
        <v>0.49330601092896176</v>
      </c>
      <c r="V234" s="225">
        <f t="shared" si="335"/>
        <v>0.7763504434291858</v>
      </c>
      <c r="W234" s="205">
        <f t="shared" si="336"/>
        <v>350</v>
      </c>
      <c r="X234" s="456">
        <f t="shared" si="337"/>
        <v>350</v>
      </c>
      <c r="Z234" s="225">
        <f t="shared" si="338"/>
        <v>0.66606005459508633</v>
      </c>
      <c r="AA234" s="181">
        <f t="shared" si="339"/>
        <v>1.7470427661510461</v>
      </c>
      <c r="AB234" s="181">
        <f t="shared" si="340"/>
        <v>0.1328062141535481</v>
      </c>
      <c r="AC234" s="181"/>
      <c r="AD234" s="181">
        <f t="shared" si="341"/>
        <v>0.76065573770491812</v>
      </c>
      <c r="AE234" s="565">
        <f t="shared" si="342"/>
        <v>489.59571938168847</v>
      </c>
      <c r="AF234" s="548">
        <f t="shared" si="343"/>
        <v>3.8603278688524589E-2</v>
      </c>
      <c r="AH234" s="181">
        <f t="shared" si="344"/>
        <v>0.42122271001047817</v>
      </c>
      <c r="AI234" s="181">
        <f t="shared" si="345"/>
        <v>0.42122271001047817</v>
      </c>
      <c r="AJ234" s="181">
        <f t="shared" si="346"/>
        <v>1.2972020074151689</v>
      </c>
      <c r="AL234" s="565">
        <f t="shared" si="347"/>
        <v>54</v>
      </c>
      <c r="AM234" s="474">
        <f t="shared" si="348"/>
        <v>350</v>
      </c>
      <c r="AO234">
        <f t="shared" si="349"/>
        <v>54</v>
      </c>
      <c r="AP234">
        <f t="shared" si="350"/>
        <v>350</v>
      </c>
      <c r="AR234" s="6">
        <f t="shared" si="314"/>
        <v>2.8571428571428572</v>
      </c>
      <c r="AS234" s="6">
        <f t="shared" si="305"/>
        <v>0.70203785001746366</v>
      </c>
      <c r="AT234" s="6">
        <f t="shared" si="306"/>
        <v>2.1551050071253934</v>
      </c>
      <c r="AU234" s="181">
        <f t="shared" si="307"/>
        <v>0.24571324750611229</v>
      </c>
      <c r="CB234" s="583">
        <f t="shared" si="351"/>
        <v>-50</v>
      </c>
    </row>
    <row r="235" spans="5:80" x14ac:dyDescent="0.2">
      <c r="E235" s="178">
        <v>19</v>
      </c>
      <c r="F235" s="225">
        <f t="shared" si="352"/>
        <v>5.6999999999999995E-2</v>
      </c>
      <c r="G235" s="225">
        <f t="shared" si="321"/>
        <v>5.6999999999999995E-2</v>
      </c>
      <c r="H235" s="225">
        <f t="shared" si="322"/>
        <v>0.85499999999999998</v>
      </c>
      <c r="I235" s="225">
        <f t="shared" si="323"/>
        <v>0.45599999999999996</v>
      </c>
      <c r="J235" s="561">
        <f t="shared" si="324"/>
        <v>24</v>
      </c>
      <c r="K235" s="456">
        <f t="shared" si="325"/>
        <v>15.25</v>
      </c>
      <c r="L235" s="456">
        <f t="shared" si="326"/>
        <v>39.25</v>
      </c>
      <c r="M235" s="456"/>
      <c r="N235" s="225">
        <f t="shared" si="327"/>
        <v>0.38853503184713378</v>
      </c>
      <c r="O235" s="180">
        <f t="shared" si="328"/>
        <v>3.9681251730822482</v>
      </c>
      <c r="P235" s="180">
        <f t="shared" si="329"/>
        <v>3.2450445859872605</v>
      </c>
      <c r="Q235" s="225">
        <f t="shared" si="330"/>
        <v>0.26454167820548319</v>
      </c>
      <c r="R235" s="225">
        <f t="shared" si="331"/>
        <v>0.49601564663528103</v>
      </c>
      <c r="S235" s="225">
        <f t="shared" si="332"/>
        <v>15</v>
      </c>
      <c r="T235" s="225">
        <f t="shared" si="333"/>
        <v>0.31242714025500906</v>
      </c>
      <c r="U235" s="225">
        <f t="shared" si="334"/>
        <v>0.52071190042501514</v>
      </c>
      <c r="V235" s="225">
        <f t="shared" si="335"/>
        <v>0.81948102361969599</v>
      </c>
      <c r="W235" s="205">
        <f t="shared" si="336"/>
        <v>350</v>
      </c>
      <c r="X235" s="456">
        <f t="shared" si="337"/>
        <v>350</v>
      </c>
      <c r="Z235" s="225">
        <f t="shared" si="338"/>
        <v>0.66606005459508633</v>
      </c>
      <c r="AA235" s="181">
        <f t="shared" si="339"/>
        <v>1.7470427661510461</v>
      </c>
      <c r="AB235" s="181">
        <f t="shared" si="340"/>
        <v>0.1328062141535481</v>
      </c>
      <c r="AC235" s="181"/>
      <c r="AD235" s="181">
        <f t="shared" si="341"/>
        <v>0.76065573770491812</v>
      </c>
      <c r="AE235" s="565">
        <f t="shared" si="342"/>
        <v>516.79548156956002</v>
      </c>
      <c r="AF235" s="548">
        <f t="shared" si="343"/>
        <v>3.8603278688524589E-2</v>
      </c>
      <c r="AH235" s="181">
        <f t="shared" si="344"/>
        <v>0.43276519532618868</v>
      </c>
      <c r="AI235" s="181">
        <f t="shared" si="345"/>
        <v>0.43276519532618868</v>
      </c>
      <c r="AJ235" s="181">
        <f t="shared" si="346"/>
        <v>1.3057519965379174</v>
      </c>
      <c r="AL235" s="565">
        <f t="shared" si="347"/>
        <v>56.999999999999993</v>
      </c>
      <c r="AM235" s="474">
        <f t="shared" si="348"/>
        <v>350</v>
      </c>
      <c r="AO235">
        <f t="shared" si="349"/>
        <v>56.999999999999993</v>
      </c>
      <c r="AP235">
        <f t="shared" si="350"/>
        <v>350</v>
      </c>
      <c r="AR235" s="6">
        <f t="shared" si="314"/>
        <v>2.8571428571428572</v>
      </c>
      <c r="AS235" s="6">
        <f t="shared" si="305"/>
        <v>0.72127532554364782</v>
      </c>
      <c r="AT235" s="6">
        <f t="shared" si="306"/>
        <v>2.1358675315992093</v>
      </c>
      <c r="AU235" s="181">
        <f t="shared" si="307"/>
        <v>0.25244636394027675</v>
      </c>
      <c r="CB235" s="583">
        <f t="shared" si="351"/>
        <v>-50</v>
      </c>
    </row>
    <row r="236" spans="5:80" x14ac:dyDescent="0.2">
      <c r="E236" s="178">
        <v>20</v>
      </c>
      <c r="F236" s="225">
        <f t="shared" si="352"/>
        <v>0.06</v>
      </c>
      <c r="G236" s="225">
        <f t="shared" si="321"/>
        <v>0.06</v>
      </c>
      <c r="H236" s="225">
        <f t="shared" si="322"/>
        <v>0.89999999999999991</v>
      </c>
      <c r="I236" s="225">
        <f t="shared" si="323"/>
        <v>0.48</v>
      </c>
      <c r="J236" s="561">
        <f t="shared" si="324"/>
        <v>24</v>
      </c>
      <c r="K236" s="456">
        <f t="shared" si="325"/>
        <v>15.25</v>
      </c>
      <c r="L236" s="456">
        <f t="shared" si="326"/>
        <v>39.25</v>
      </c>
      <c r="M236" s="456"/>
      <c r="N236" s="225">
        <f t="shared" si="327"/>
        <v>0.38853503184713378</v>
      </c>
      <c r="O236" s="180">
        <f t="shared" si="328"/>
        <v>3.9681251730822482</v>
      </c>
      <c r="P236" s="180">
        <f t="shared" si="329"/>
        <v>3.2450445859872605</v>
      </c>
      <c r="Q236" s="225">
        <f t="shared" si="330"/>
        <v>0.26454167820548319</v>
      </c>
      <c r="R236" s="225">
        <f t="shared" si="331"/>
        <v>0.49601564663528103</v>
      </c>
      <c r="S236" s="225">
        <f t="shared" si="332"/>
        <v>15</v>
      </c>
      <c r="T236" s="225">
        <f t="shared" si="333"/>
        <v>0.32887067395264113</v>
      </c>
      <c r="U236" s="225">
        <f t="shared" si="334"/>
        <v>0.54811778992106852</v>
      </c>
      <c r="V236" s="225">
        <f t="shared" si="335"/>
        <v>0.8626116038102063</v>
      </c>
      <c r="W236" s="205">
        <f t="shared" si="336"/>
        <v>350</v>
      </c>
      <c r="X236" s="456">
        <f t="shared" si="337"/>
        <v>350</v>
      </c>
      <c r="Z236" s="225">
        <f t="shared" si="338"/>
        <v>0.66606005459508633</v>
      </c>
      <c r="AA236" s="181">
        <f t="shared" si="339"/>
        <v>1.7470427661510461</v>
      </c>
      <c r="AB236" s="181">
        <f t="shared" si="340"/>
        <v>0.1328062141535481</v>
      </c>
      <c r="AC236" s="181"/>
      <c r="AD236" s="181">
        <f t="shared" si="341"/>
        <v>0.76065573770491812</v>
      </c>
      <c r="AE236" s="565">
        <f t="shared" si="342"/>
        <v>543.99524375743158</v>
      </c>
      <c r="AF236" s="548">
        <f t="shared" si="343"/>
        <v>3.8603278688524589E-2</v>
      </c>
      <c r="AH236" s="181">
        <f t="shared" si="344"/>
        <v>0.44400772194057286</v>
      </c>
      <c r="AI236" s="181">
        <f t="shared" si="345"/>
        <v>0.44400772194057286</v>
      </c>
      <c r="AJ236" s="181">
        <f t="shared" si="346"/>
        <v>1.3140797940300539</v>
      </c>
      <c r="AL236" s="565">
        <f t="shared" si="347"/>
        <v>60</v>
      </c>
      <c r="AM236" s="474">
        <f t="shared" si="348"/>
        <v>350</v>
      </c>
      <c r="AO236">
        <f t="shared" si="349"/>
        <v>60</v>
      </c>
      <c r="AP236">
        <f t="shared" si="350"/>
        <v>350</v>
      </c>
      <c r="AR236" s="6">
        <f t="shared" si="314"/>
        <v>2.8571428571428572</v>
      </c>
      <c r="AS236" s="6">
        <f t="shared" si="305"/>
        <v>0.74001286990095483</v>
      </c>
      <c r="AT236" s="6">
        <f t="shared" si="306"/>
        <v>2.1171299872419023</v>
      </c>
      <c r="AU236" s="181">
        <f t="shared" si="307"/>
        <v>0.25900450446533418</v>
      </c>
      <c r="CB236" s="583">
        <f t="shared" si="351"/>
        <v>-50</v>
      </c>
    </row>
    <row r="237" spans="5:80" x14ac:dyDescent="0.2">
      <c r="E237" s="178">
        <v>21</v>
      </c>
      <c r="F237" s="225">
        <f t="shared" si="352"/>
        <v>6.3E-2</v>
      </c>
      <c r="G237" s="225">
        <f t="shared" si="321"/>
        <v>6.3E-2</v>
      </c>
      <c r="H237" s="225">
        <f t="shared" si="322"/>
        <v>0.94500000000000006</v>
      </c>
      <c r="I237" s="225">
        <f t="shared" si="323"/>
        <v>0.504</v>
      </c>
      <c r="J237" s="561">
        <f t="shared" si="324"/>
        <v>24</v>
      </c>
      <c r="K237" s="456">
        <f t="shared" si="325"/>
        <v>15.25</v>
      </c>
      <c r="L237" s="456">
        <f t="shared" si="326"/>
        <v>39.25</v>
      </c>
      <c r="M237" s="456"/>
      <c r="N237" s="225">
        <f t="shared" si="327"/>
        <v>0.38853503184713378</v>
      </c>
      <c r="O237" s="180">
        <f t="shared" si="328"/>
        <v>3.9681251730822482</v>
      </c>
      <c r="P237" s="180">
        <f t="shared" si="329"/>
        <v>3.2450445859872605</v>
      </c>
      <c r="Q237" s="225">
        <f t="shared" si="330"/>
        <v>0.26454167820548319</v>
      </c>
      <c r="R237" s="225">
        <f t="shared" si="331"/>
        <v>0.49601564663528103</v>
      </c>
      <c r="S237" s="225">
        <f t="shared" si="332"/>
        <v>15</v>
      </c>
      <c r="T237" s="225">
        <f t="shared" si="333"/>
        <v>0.34531420765027321</v>
      </c>
      <c r="U237" s="225">
        <f t="shared" si="334"/>
        <v>0.57552367941712212</v>
      </c>
      <c r="V237" s="225">
        <f t="shared" si="335"/>
        <v>0.90574218400071671</v>
      </c>
      <c r="W237" s="205">
        <f t="shared" si="336"/>
        <v>350</v>
      </c>
      <c r="X237" s="456">
        <f t="shared" si="337"/>
        <v>350</v>
      </c>
      <c r="Z237" s="225">
        <f t="shared" si="338"/>
        <v>0.66606005459508633</v>
      </c>
      <c r="AA237" s="181">
        <f t="shared" si="339"/>
        <v>1.7470427661510461</v>
      </c>
      <c r="AB237" s="181">
        <f t="shared" si="340"/>
        <v>0.1328062141535481</v>
      </c>
      <c r="AC237" s="181"/>
      <c r="AD237" s="181">
        <f t="shared" si="341"/>
        <v>0.76065573770491812</v>
      </c>
      <c r="AE237" s="565">
        <f t="shared" si="342"/>
        <v>571.19500594530325</v>
      </c>
      <c r="AF237" s="548">
        <f t="shared" si="343"/>
        <v>3.8603278688524589E-2</v>
      </c>
      <c r="AH237" s="181">
        <f t="shared" si="344"/>
        <v>0.45497252664309301</v>
      </c>
      <c r="AI237" s="181">
        <f t="shared" si="345"/>
        <v>0.45497252664309301</v>
      </c>
      <c r="AJ237" s="181">
        <f t="shared" si="346"/>
        <v>1.3222018715874762</v>
      </c>
      <c r="AL237" s="565">
        <f t="shared" si="347"/>
        <v>63</v>
      </c>
      <c r="AM237" s="474">
        <f t="shared" si="348"/>
        <v>350</v>
      </c>
      <c r="AO237">
        <f t="shared" si="349"/>
        <v>63</v>
      </c>
      <c r="AP237">
        <f t="shared" si="350"/>
        <v>350</v>
      </c>
      <c r="AR237" s="6">
        <f t="shared" si="314"/>
        <v>2.8571428571428572</v>
      </c>
      <c r="AS237" s="6">
        <f t="shared" si="305"/>
        <v>0.75828754440515511</v>
      </c>
      <c r="AT237" s="6">
        <f t="shared" si="306"/>
        <v>2.0988553127377019</v>
      </c>
      <c r="AU237" s="181">
        <f t="shared" si="307"/>
        <v>0.26540064054180429</v>
      </c>
      <c r="CB237" s="583">
        <f t="shared" si="351"/>
        <v>-50</v>
      </c>
    </row>
    <row r="238" spans="5:80" x14ac:dyDescent="0.2">
      <c r="E238" s="178">
        <v>22</v>
      </c>
      <c r="F238" s="225">
        <f t="shared" si="352"/>
        <v>6.6000000000000003E-2</v>
      </c>
      <c r="G238" s="225">
        <f t="shared" si="321"/>
        <v>6.6000000000000003E-2</v>
      </c>
      <c r="H238" s="225">
        <f t="shared" si="322"/>
        <v>0.99</v>
      </c>
      <c r="I238" s="225">
        <f t="shared" si="323"/>
        <v>0.52800000000000002</v>
      </c>
      <c r="J238" s="561">
        <f t="shared" si="324"/>
        <v>24</v>
      </c>
      <c r="K238" s="456">
        <f t="shared" si="325"/>
        <v>15.25</v>
      </c>
      <c r="L238" s="456">
        <f t="shared" si="326"/>
        <v>39.25</v>
      </c>
      <c r="M238" s="456"/>
      <c r="N238" s="225">
        <f t="shared" si="327"/>
        <v>0.38853503184713378</v>
      </c>
      <c r="O238" s="180">
        <f t="shared" si="328"/>
        <v>3.9681251730822482</v>
      </c>
      <c r="P238" s="180">
        <f t="shared" si="329"/>
        <v>3.2450445859872605</v>
      </c>
      <c r="Q238" s="225">
        <f t="shared" si="330"/>
        <v>0.26454167820548319</v>
      </c>
      <c r="R238" s="225">
        <f t="shared" si="331"/>
        <v>0.49601564663528103</v>
      </c>
      <c r="S238" s="225">
        <f t="shared" si="332"/>
        <v>15</v>
      </c>
      <c r="T238" s="225">
        <f t="shared" si="333"/>
        <v>0.36175774134790523</v>
      </c>
      <c r="U238" s="225">
        <f t="shared" si="334"/>
        <v>0.6029295689131754</v>
      </c>
      <c r="V238" s="225">
        <f t="shared" si="335"/>
        <v>0.9488727641912269</v>
      </c>
      <c r="W238" s="205">
        <f t="shared" si="336"/>
        <v>350</v>
      </c>
      <c r="X238" s="456">
        <f t="shared" si="337"/>
        <v>350</v>
      </c>
      <c r="Z238" s="225">
        <f t="shared" si="338"/>
        <v>0.66606005459508633</v>
      </c>
      <c r="AA238" s="181">
        <f t="shared" si="339"/>
        <v>1.7470427661510461</v>
      </c>
      <c r="AB238" s="181">
        <f t="shared" si="340"/>
        <v>0.1328062141535481</v>
      </c>
      <c r="AC238" s="181"/>
      <c r="AD238" s="181">
        <f t="shared" si="341"/>
        <v>0.76065573770491812</v>
      </c>
      <c r="AE238" s="565">
        <f t="shared" si="342"/>
        <v>598.39476813317481</v>
      </c>
      <c r="AF238" s="548">
        <f t="shared" si="343"/>
        <v>3.8603278688524589E-2</v>
      </c>
      <c r="AH238" s="181">
        <f t="shared" si="344"/>
        <v>0.46567922742714524</v>
      </c>
      <c r="AI238" s="181">
        <f t="shared" si="345"/>
        <v>0.46567922742714524</v>
      </c>
      <c r="AJ238" s="181">
        <f t="shared" si="346"/>
        <v>1.3301327610571445</v>
      </c>
      <c r="AL238" s="565">
        <f t="shared" si="347"/>
        <v>66</v>
      </c>
      <c r="AM238" s="474">
        <f t="shared" si="348"/>
        <v>350</v>
      </c>
      <c r="AO238">
        <f t="shared" si="349"/>
        <v>66</v>
      </c>
      <c r="AP238">
        <f t="shared" si="350"/>
        <v>350</v>
      </c>
      <c r="AR238" s="6">
        <f t="shared" si="314"/>
        <v>2.8571428571428572</v>
      </c>
      <c r="AS238" s="6">
        <f t="shared" si="305"/>
        <v>0.77613204571190886</v>
      </c>
      <c r="AT238" s="6">
        <f t="shared" si="306"/>
        <v>2.0810108114309482</v>
      </c>
      <c r="AU238" s="181">
        <f t="shared" si="307"/>
        <v>0.27164621599916811</v>
      </c>
      <c r="CB238" s="583">
        <f t="shared" si="351"/>
        <v>-50</v>
      </c>
    </row>
    <row r="239" spans="5:80" x14ac:dyDescent="0.2">
      <c r="E239" s="178">
        <v>23</v>
      </c>
      <c r="F239" s="225">
        <f t="shared" si="352"/>
        <v>6.9000000000000006E-2</v>
      </c>
      <c r="G239" s="225">
        <f t="shared" si="321"/>
        <v>6.9000000000000006E-2</v>
      </c>
      <c r="H239" s="225">
        <f t="shared" si="322"/>
        <v>1.0350000000000001</v>
      </c>
      <c r="I239" s="225">
        <f t="shared" si="323"/>
        <v>0.55200000000000005</v>
      </c>
      <c r="J239" s="561">
        <f t="shared" si="324"/>
        <v>24</v>
      </c>
      <c r="K239" s="456">
        <f t="shared" si="325"/>
        <v>15.25</v>
      </c>
      <c r="L239" s="456">
        <f t="shared" si="326"/>
        <v>39.25</v>
      </c>
      <c r="M239" s="456"/>
      <c r="N239" s="225">
        <f t="shared" si="327"/>
        <v>0.38853503184713378</v>
      </c>
      <c r="O239" s="180">
        <f t="shared" si="328"/>
        <v>3.9681251730822482</v>
      </c>
      <c r="P239" s="180">
        <f t="shared" si="329"/>
        <v>3.2450445859872605</v>
      </c>
      <c r="Q239" s="225">
        <f t="shared" si="330"/>
        <v>0.26454167820548319</v>
      </c>
      <c r="R239" s="225">
        <f t="shared" si="331"/>
        <v>0.49601564663528103</v>
      </c>
      <c r="S239" s="225">
        <f t="shared" si="332"/>
        <v>15</v>
      </c>
      <c r="T239" s="225">
        <f t="shared" si="333"/>
        <v>0.37820127504553736</v>
      </c>
      <c r="U239" s="225">
        <f t="shared" si="334"/>
        <v>0.630335458409229</v>
      </c>
      <c r="V239" s="225">
        <f t="shared" si="335"/>
        <v>0.99200334438173743</v>
      </c>
      <c r="W239" s="205">
        <f t="shared" si="336"/>
        <v>350</v>
      </c>
      <c r="X239" s="456">
        <f t="shared" si="337"/>
        <v>350</v>
      </c>
      <c r="Z239" s="225">
        <f t="shared" si="338"/>
        <v>0.66606005459508633</v>
      </c>
      <c r="AA239" s="181">
        <f t="shared" si="339"/>
        <v>1.7470427661510461</v>
      </c>
      <c r="AB239" s="181">
        <f t="shared" si="340"/>
        <v>0.1328062141535481</v>
      </c>
      <c r="AC239" s="181"/>
      <c r="AD239" s="181">
        <f t="shared" si="341"/>
        <v>0.76065573770491812</v>
      </c>
      <c r="AE239" s="565">
        <f t="shared" si="342"/>
        <v>625.59453032104636</v>
      </c>
      <c r="AF239" s="548">
        <f t="shared" si="343"/>
        <v>3.8603278688524589E-2</v>
      </c>
      <c r="AH239" s="181">
        <f t="shared" si="344"/>
        <v>0.47614523594622438</v>
      </c>
      <c r="AI239" s="181">
        <f t="shared" si="345"/>
        <v>0.47614523594622438</v>
      </c>
      <c r="AJ239" s="181">
        <f t="shared" si="346"/>
        <v>1.3378853599601661</v>
      </c>
      <c r="AL239" s="565">
        <f t="shared" si="347"/>
        <v>69</v>
      </c>
      <c r="AM239" s="474">
        <f t="shared" si="348"/>
        <v>350</v>
      </c>
      <c r="AO239">
        <f t="shared" si="349"/>
        <v>69</v>
      </c>
      <c r="AP239">
        <f t="shared" si="350"/>
        <v>350</v>
      </c>
      <c r="AR239" s="6">
        <f t="shared" si="314"/>
        <v>2.8571428571428572</v>
      </c>
      <c r="AS239" s="6">
        <f t="shared" si="305"/>
        <v>0.79357539324370741</v>
      </c>
      <c r="AT239" s="6">
        <f t="shared" si="306"/>
        <v>2.0635674638991497</v>
      </c>
      <c r="AU239" s="181">
        <f t="shared" si="307"/>
        <v>0.27775138763529761</v>
      </c>
      <c r="CB239" s="583">
        <f t="shared" si="351"/>
        <v>-50</v>
      </c>
    </row>
    <row r="240" spans="5:80" x14ac:dyDescent="0.2">
      <c r="E240" s="178">
        <v>24</v>
      </c>
      <c r="F240" s="225">
        <f t="shared" si="352"/>
        <v>7.1999999999999995E-2</v>
      </c>
      <c r="G240" s="225">
        <f t="shared" si="321"/>
        <v>7.1999999999999995E-2</v>
      </c>
      <c r="H240" s="225">
        <f t="shared" si="322"/>
        <v>1.0799999999999998</v>
      </c>
      <c r="I240" s="225">
        <f t="shared" si="323"/>
        <v>0.57599999999999996</v>
      </c>
      <c r="J240" s="561">
        <f t="shared" si="324"/>
        <v>24</v>
      </c>
      <c r="K240" s="456">
        <f t="shared" si="325"/>
        <v>15.25</v>
      </c>
      <c r="L240" s="456">
        <f t="shared" si="326"/>
        <v>39.25</v>
      </c>
      <c r="M240" s="456"/>
      <c r="N240" s="225">
        <f t="shared" si="327"/>
        <v>0.38853503184713378</v>
      </c>
      <c r="O240" s="180">
        <f t="shared" si="328"/>
        <v>3.9681251730822482</v>
      </c>
      <c r="P240" s="180">
        <f t="shared" si="329"/>
        <v>3.2450445859872605</v>
      </c>
      <c r="Q240" s="225">
        <f t="shared" si="330"/>
        <v>0.26454167820548319</v>
      </c>
      <c r="R240" s="225">
        <f t="shared" si="331"/>
        <v>0.49601564663528103</v>
      </c>
      <c r="S240" s="225">
        <f t="shared" si="332"/>
        <v>15</v>
      </c>
      <c r="T240" s="225">
        <f t="shared" si="333"/>
        <v>0.39464480874316926</v>
      </c>
      <c r="U240" s="225">
        <f t="shared" si="334"/>
        <v>0.65774134790528205</v>
      </c>
      <c r="V240" s="225">
        <f t="shared" si="335"/>
        <v>1.0351339245722473</v>
      </c>
      <c r="W240" s="205">
        <f t="shared" si="336"/>
        <v>350</v>
      </c>
      <c r="X240" s="456">
        <f t="shared" si="337"/>
        <v>350</v>
      </c>
      <c r="Z240" s="225">
        <f t="shared" si="338"/>
        <v>0.66606005459508633</v>
      </c>
      <c r="AA240" s="181">
        <f t="shared" si="339"/>
        <v>1.7470427661510461</v>
      </c>
      <c r="AB240" s="181">
        <f t="shared" si="340"/>
        <v>0.1328062141535481</v>
      </c>
      <c r="AC240" s="181"/>
      <c r="AD240" s="181">
        <f t="shared" si="341"/>
        <v>0.76065573770491812</v>
      </c>
      <c r="AE240" s="565">
        <f t="shared" si="342"/>
        <v>652.79429250891781</v>
      </c>
      <c r="AF240" s="548">
        <f t="shared" si="343"/>
        <v>3.8603278688524589E-2</v>
      </c>
      <c r="AH240" s="181">
        <f t="shared" si="344"/>
        <v>0.48638609002666644</v>
      </c>
      <c r="AI240" s="181">
        <f t="shared" si="345"/>
        <v>0.48638609002666644</v>
      </c>
      <c r="AJ240" s="181">
        <f t="shared" si="346"/>
        <v>1.3454711777975306</v>
      </c>
      <c r="AL240" s="565">
        <f t="shared" si="347"/>
        <v>72</v>
      </c>
      <c r="AM240" s="474">
        <f t="shared" si="348"/>
        <v>350</v>
      </c>
      <c r="AO240">
        <f t="shared" si="349"/>
        <v>72</v>
      </c>
      <c r="AP240">
        <f t="shared" si="350"/>
        <v>350</v>
      </c>
      <c r="AR240" s="6">
        <f t="shared" si="314"/>
        <v>2.8571428571428572</v>
      </c>
      <c r="AS240" s="6">
        <f t="shared" si="305"/>
        <v>0.81064348337777747</v>
      </c>
      <c r="AT240" s="6">
        <f t="shared" si="306"/>
        <v>2.0464993737650796</v>
      </c>
      <c r="AU240" s="181">
        <f t="shared" si="307"/>
        <v>0.2837252191822221</v>
      </c>
      <c r="CB240" s="583">
        <f t="shared" si="351"/>
        <v>-50</v>
      </c>
    </row>
    <row r="241" spans="5:80" x14ac:dyDescent="0.2">
      <c r="E241" s="178">
        <v>25</v>
      </c>
      <c r="F241" s="225">
        <f t="shared" si="352"/>
        <v>7.4999999999999997E-2</v>
      </c>
      <c r="G241" s="225">
        <f t="shared" si="321"/>
        <v>7.4999999999999997E-2</v>
      </c>
      <c r="H241" s="225">
        <f t="shared" si="322"/>
        <v>1.125</v>
      </c>
      <c r="I241" s="225">
        <f t="shared" si="323"/>
        <v>0.6</v>
      </c>
      <c r="J241" s="561">
        <f t="shared" si="324"/>
        <v>24</v>
      </c>
      <c r="K241" s="456">
        <f t="shared" si="325"/>
        <v>15.25</v>
      </c>
      <c r="L241" s="456">
        <f t="shared" si="326"/>
        <v>39.25</v>
      </c>
      <c r="M241" s="456"/>
      <c r="N241" s="225">
        <f t="shared" si="327"/>
        <v>0.38853503184713378</v>
      </c>
      <c r="O241" s="180">
        <f t="shared" si="328"/>
        <v>3.9681251730822482</v>
      </c>
      <c r="P241" s="180">
        <f t="shared" si="329"/>
        <v>3.2450445859872605</v>
      </c>
      <c r="Q241" s="225">
        <f t="shared" si="330"/>
        <v>0.26454167820548319</v>
      </c>
      <c r="R241" s="225">
        <f t="shared" si="331"/>
        <v>0.49601564663528103</v>
      </c>
      <c r="S241" s="225">
        <f t="shared" si="332"/>
        <v>15</v>
      </c>
      <c r="T241" s="225">
        <f t="shared" si="333"/>
        <v>0.41108834244080145</v>
      </c>
      <c r="U241" s="225">
        <f t="shared" si="334"/>
        <v>0.68514723740133576</v>
      </c>
      <c r="V241" s="225">
        <f t="shared" si="335"/>
        <v>1.0782645047627579</v>
      </c>
      <c r="W241" s="205">
        <f t="shared" si="336"/>
        <v>350</v>
      </c>
      <c r="X241" s="456">
        <f t="shared" si="337"/>
        <v>350</v>
      </c>
      <c r="Z241" s="225">
        <f t="shared" si="338"/>
        <v>0.66606005459508633</v>
      </c>
      <c r="AA241" s="181">
        <f t="shared" si="339"/>
        <v>1.7470427661510461</v>
      </c>
      <c r="AB241" s="181">
        <f t="shared" si="340"/>
        <v>0.1328062141535481</v>
      </c>
      <c r="AC241" s="181"/>
      <c r="AD241" s="181">
        <f t="shared" si="341"/>
        <v>0.76065573770491812</v>
      </c>
      <c r="AE241" s="565">
        <f t="shared" si="342"/>
        <v>679.99405469678948</v>
      </c>
      <c r="AF241" s="548">
        <f t="shared" si="343"/>
        <v>3.8603278688524589E-2</v>
      </c>
      <c r="AH241" s="181">
        <f t="shared" si="344"/>
        <v>0.49641572439697296</v>
      </c>
      <c r="AI241" s="181">
        <f t="shared" si="345"/>
        <v>0.49641572439697296</v>
      </c>
      <c r="AJ241" s="181">
        <f t="shared" si="346"/>
        <v>1.3529005365903504</v>
      </c>
      <c r="AL241" s="565">
        <f t="shared" si="347"/>
        <v>75</v>
      </c>
      <c r="AM241" s="474">
        <f t="shared" si="348"/>
        <v>350</v>
      </c>
      <c r="AO241">
        <f t="shared" si="349"/>
        <v>75</v>
      </c>
      <c r="AP241">
        <f t="shared" si="350"/>
        <v>350</v>
      </c>
      <c r="AR241" s="6">
        <f t="shared" si="314"/>
        <v>2.8571428571428572</v>
      </c>
      <c r="AS241" s="6">
        <f t="shared" si="305"/>
        <v>0.82735954066162165</v>
      </c>
      <c r="AT241" s="6">
        <f t="shared" si="306"/>
        <v>2.0297833164812356</v>
      </c>
      <c r="AU241" s="181">
        <f t="shared" si="307"/>
        <v>0.28957583923156754</v>
      </c>
      <c r="CB241" s="583">
        <f t="shared" si="351"/>
        <v>-50</v>
      </c>
    </row>
    <row r="242" spans="5:80" x14ac:dyDescent="0.2">
      <c r="E242" s="178">
        <v>26</v>
      </c>
      <c r="F242" s="225">
        <f t="shared" si="352"/>
        <v>7.8E-2</v>
      </c>
      <c r="G242" s="225">
        <f t="shared" si="321"/>
        <v>7.8E-2</v>
      </c>
      <c r="H242" s="225">
        <f t="shared" si="322"/>
        <v>1.17</v>
      </c>
      <c r="I242" s="225">
        <f t="shared" si="323"/>
        <v>0.624</v>
      </c>
      <c r="J242" s="561">
        <f t="shared" si="324"/>
        <v>24</v>
      </c>
      <c r="K242" s="456">
        <f t="shared" si="325"/>
        <v>15.25</v>
      </c>
      <c r="L242" s="456">
        <f t="shared" si="326"/>
        <v>39.25</v>
      </c>
      <c r="M242" s="456"/>
      <c r="N242" s="225">
        <f t="shared" si="327"/>
        <v>0.38853503184713378</v>
      </c>
      <c r="O242" s="180">
        <f t="shared" si="328"/>
        <v>3.9681251730822482</v>
      </c>
      <c r="P242" s="180">
        <f t="shared" si="329"/>
        <v>3.2450445859872605</v>
      </c>
      <c r="Q242" s="225">
        <f t="shared" si="330"/>
        <v>0.26454167820548319</v>
      </c>
      <c r="R242" s="225">
        <f t="shared" si="331"/>
        <v>0.49601564663528103</v>
      </c>
      <c r="S242" s="225">
        <f t="shared" si="332"/>
        <v>15</v>
      </c>
      <c r="T242" s="225">
        <f t="shared" si="333"/>
        <v>0.42753187613843346</v>
      </c>
      <c r="U242" s="225">
        <f t="shared" si="334"/>
        <v>0.71255312689738914</v>
      </c>
      <c r="V242" s="225">
        <f t="shared" si="335"/>
        <v>1.1213950849532681</v>
      </c>
      <c r="W242" s="205">
        <f t="shared" si="336"/>
        <v>350</v>
      </c>
      <c r="X242" s="456">
        <f t="shared" si="337"/>
        <v>350</v>
      </c>
      <c r="Z242" s="225">
        <f t="shared" si="338"/>
        <v>0.66606005459508633</v>
      </c>
      <c r="AA242" s="181">
        <f t="shared" si="339"/>
        <v>1.7470427661510461</v>
      </c>
      <c r="AB242" s="181">
        <f t="shared" si="340"/>
        <v>0.1328062141535481</v>
      </c>
      <c r="AC242" s="181"/>
      <c r="AD242" s="181">
        <f t="shared" si="341"/>
        <v>0.76065573770491812</v>
      </c>
      <c r="AE242" s="565">
        <f t="shared" si="342"/>
        <v>707.19381688466115</v>
      </c>
      <c r="AF242" s="548">
        <f t="shared" si="343"/>
        <v>3.8603278688524589E-2</v>
      </c>
      <c r="AH242" s="181">
        <f t="shared" si="344"/>
        <v>0.50624669311089265</v>
      </c>
      <c r="AI242" s="181">
        <f t="shared" si="345"/>
        <v>0.50624669311089265</v>
      </c>
      <c r="AJ242" s="181">
        <f t="shared" si="346"/>
        <v>1.3601827356376983</v>
      </c>
      <c r="AL242" s="565">
        <f t="shared" si="347"/>
        <v>78</v>
      </c>
      <c r="AM242" s="474">
        <f t="shared" si="348"/>
        <v>350</v>
      </c>
      <c r="AO242">
        <f t="shared" si="349"/>
        <v>78</v>
      </c>
      <c r="AP242">
        <f t="shared" si="350"/>
        <v>350</v>
      </c>
      <c r="AR242" s="6">
        <f t="shared" si="314"/>
        <v>2.8571428571428572</v>
      </c>
      <c r="AS242" s="6">
        <f t="shared" si="305"/>
        <v>0.84374448851815442</v>
      </c>
      <c r="AT242" s="6">
        <f t="shared" si="306"/>
        <v>2.0133983686247028</v>
      </c>
      <c r="AU242" s="181">
        <f t="shared" si="307"/>
        <v>0.29531057098135405</v>
      </c>
      <c r="CB242" s="583">
        <f t="shared" si="351"/>
        <v>-50</v>
      </c>
    </row>
    <row r="243" spans="5:80" x14ac:dyDescent="0.2">
      <c r="E243" s="178">
        <v>27</v>
      </c>
      <c r="F243" s="225">
        <f t="shared" si="352"/>
        <v>8.1000000000000003E-2</v>
      </c>
      <c r="G243" s="225">
        <f t="shared" si="321"/>
        <v>8.1000000000000003E-2</v>
      </c>
      <c r="H243" s="225">
        <f t="shared" si="322"/>
        <v>1.2150000000000001</v>
      </c>
      <c r="I243" s="225">
        <f t="shared" si="323"/>
        <v>0.64800000000000002</v>
      </c>
      <c r="J243" s="561">
        <f t="shared" si="324"/>
        <v>24</v>
      </c>
      <c r="K243" s="456">
        <f t="shared" si="325"/>
        <v>15.25</v>
      </c>
      <c r="L243" s="456">
        <f t="shared" si="326"/>
        <v>39.25</v>
      </c>
      <c r="M243" s="456"/>
      <c r="N243" s="225">
        <f t="shared" si="327"/>
        <v>0.38853503184713378</v>
      </c>
      <c r="O243" s="180">
        <f t="shared" si="328"/>
        <v>3.9681251730822482</v>
      </c>
      <c r="P243" s="180">
        <f t="shared" si="329"/>
        <v>3.2450445859872605</v>
      </c>
      <c r="Q243" s="225">
        <f t="shared" si="330"/>
        <v>0.26454167820548319</v>
      </c>
      <c r="R243" s="225">
        <f t="shared" si="331"/>
        <v>0.49601564663528103</v>
      </c>
      <c r="S243" s="225">
        <f t="shared" si="332"/>
        <v>15</v>
      </c>
      <c r="T243" s="225">
        <f t="shared" si="333"/>
        <v>0.44397540983606554</v>
      </c>
      <c r="U243" s="225">
        <f t="shared" si="334"/>
        <v>0.73995901639344264</v>
      </c>
      <c r="V243" s="225">
        <f t="shared" si="335"/>
        <v>1.1645256651437785</v>
      </c>
      <c r="W243" s="205">
        <f t="shared" si="336"/>
        <v>350</v>
      </c>
      <c r="X243" s="456">
        <f t="shared" si="337"/>
        <v>350</v>
      </c>
      <c r="Z243" s="225">
        <f t="shared" si="338"/>
        <v>0.66606005459508633</v>
      </c>
      <c r="AA243" s="181">
        <f t="shared" si="339"/>
        <v>1.7470427661510461</v>
      </c>
      <c r="AB243" s="181">
        <f t="shared" si="340"/>
        <v>0.1328062141535481</v>
      </c>
      <c r="AC243" s="181"/>
      <c r="AD243" s="181">
        <f t="shared" si="341"/>
        <v>0.76065573770491812</v>
      </c>
      <c r="AE243" s="565">
        <f t="shared" si="342"/>
        <v>734.3935790725327</v>
      </c>
      <c r="AF243" s="548">
        <f t="shared" si="343"/>
        <v>3.8603278688524589E-2</v>
      </c>
      <c r="AH243" s="181">
        <f t="shared" si="344"/>
        <v>0.51589035379899972</v>
      </c>
      <c r="AI243" s="181">
        <f t="shared" si="345"/>
        <v>0.51589035379899972</v>
      </c>
      <c r="AJ243" s="181">
        <f t="shared" si="346"/>
        <v>1.3673261879992591</v>
      </c>
      <c r="AL243" s="565">
        <f t="shared" si="347"/>
        <v>81</v>
      </c>
      <c r="AM243" s="474">
        <f t="shared" si="348"/>
        <v>350</v>
      </c>
      <c r="AO243">
        <f t="shared" si="349"/>
        <v>81</v>
      </c>
      <c r="AP243">
        <f t="shared" si="350"/>
        <v>350</v>
      </c>
      <c r="AR243" s="6">
        <f t="shared" si="314"/>
        <v>2.8571428571428572</v>
      </c>
      <c r="AS243" s="6">
        <f t="shared" ref="AS243:AS306" si="353">L*AI243/J243*1000000</f>
        <v>0.85981725633166639</v>
      </c>
      <c r="AT243" s="6">
        <f t="shared" ref="AT243:AT306" si="354">AR243-AS243</f>
        <v>1.9973256008111908</v>
      </c>
      <c r="AU243" s="181">
        <f t="shared" ref="AU243:AU306" si="355">AS243/AR243</f>
        <v>0.30093603971608324</v>
      </c>
      <c r="CB243" s="583">
        <f t="shared" si="351"/>
        <v>-50</v>
      </c>
    </row>
    <row r="244" spans="5:80" x14ac:dyDescent="0.2">
      <c r="E244" s="178">
        <v>28</v>
      </c>
      <c r="F244" s="225">
        <f t="shared" si="352"/>
        <v>8.4000000000000005E-2</v>
      </c>
      <c r="G244" s="225">
        <f t="shared" si="321"/>
        <v>8.4000000000000005E-2</v>
      </c>
      <c r="H244" s="225">
        <f t="shared" si="322"/>
        <v>1.26</v>
      </c>
      <c r="I244" s="225">
        <f t="shared" si="323"/>
        <v>0.67200000000000004</v>
      </c>
      <c r="J244" s="561">
        <f t="shared" si="324"/>
        <v>24</v>
      </c>
      <c r="K244" s="456">
        <f t="shared" si="325"/>
        <v>15.25</v>
      </c>
      <c r="L244" s="456">
        <f t="shared" si="326"/>
        <v>39.25</v>
      </c>
      <c r="M244" s="456"/>
      <c r="N244" s="225">
        <f t="shared" si="327"/>
        <v>0.38853503184713378</v>
      </c>
      <c r="O244" s="180">
        <f t="shared" si="328"/>
        <v>3.9681251730822482</v>
      </c>
      <c r="P244" s="180">
        <f t="shared" si="329"/>
        <v>3.2450445859872605</v>
      </c>
      <c r="Q244" s="225">
        <f t="shared" si="330"/>
        <v>0.26454167820548319</v>
      </c>
      <c r="R244" s="225">
        <f t="shared" si="331"/>
        <v>0.49601564663528103</v>
      </c>
      <c r="S244" s="225">
        <f t="shared" si="332"/>
        <v>15</v>
      </c>
      <c r="T244" s="225">
        <f t="shared" si="333"/>
        <v>0.46041894353369756</v>
      </c>
      <c r="U244" s="225">
        <f t="shared" si="334"/>
        <v>0.76736490588949602</v>
      </c>
      <c r="V244" s="225">
        <f t="shared" si="335"/>
        <v>1.2076562453342887</v>
      </c>
      <c r="W244" s="205">
        <f t="shared" si="336"/>
        <v>350</v>
      </c>
      <c r="X244" s="456">
        <f t="shared" si="337"/>
        <v>350</v>
      </c>
      <c r="Z244" s="225">
        <f t="shared" si="338"/>
        <v>0.66606005459508633</v>
      </c>
      <c r="AA244" s="181">
        <f t="shared" si="339"/>
        <v>1.7470427661510461</v>
      </c>
      <c r="AB244" s="181">
        <f t="shared" si="340"/>
        <v>0.1328062141535481</v>
      </c>
      <c r="AC244" s="181"/>
      <c r="AD244" s="181">
        <f t="shared" si="341"/>
        <v>0.76065573770491812</v>
      </c>
      <c r="AE244" s="565">
        <f t="shared" si="342"/>
        <v>761.59334126040437</v>
      </c>
      <c r="AF244" s="548">
        <f t="shared" si="343"/>
        <v>3.8603278688524589E-2</v>
      </c>
      <c r="AH244" s="181">
        <f t="shared" si="344"/>
        <v>0.52535702146254781</v>
      </c>
      <c r="AI244" s="181">
        <f t="shared" si="345"/>
        <v>0.52535702146254781</v>
      </c>
      <c r="AJ244" s="181">
        <f t="shared" si="346"/>
        <v>1.3743385344167021</v>
      </c>
      <c r="AL244" s="565">
        <f t="shared" si="347"/>
        <v>84</v>
      </c>
      <c r="AM244" s="474">
        <f t="shared" si="348"/>
        <v>350</v>
      </c>
      <c r="AO244">
        <f t="shared" si="349"/>
        <v>84</v>
      </c>
      <c r="AP244">
        <f t="shared" si="350"/>
        <v>350</v>
      </c>
      <c r="AR244" s="6">
        <f t="shared" si="314"/>
        <v>2.8571428571428572</v>
      </c>
      <c r="AS244" s="6">
        <f t="shared" si="353"/>
        <v>0.87559503577091313</v>
      </c>
      <c r="AT244" s="6">
        <f t="shared" si="354"/>
        <v>1.9815478213719442</v>
      </c>
      <c r="AU244" s="181">
        <f t="shared" si="355"/>
        <v>0.30645826251981961</v>
      </c>
      <c r="CB244" s="583">
        <f t="shared" si="351"/>
        <v>-50</v>
      </c>
    </row>
    <row r="245" spans="5:80" x14ac:dyDescent="0.2">
      <c r="E245" s="178">
        <v>29</v>
      </c>
      <c r="F245" s="225">
        <f t="shared" si="352"/>
        <v>8.6999999999999994E-2</v>
      </c>
      <c r="G245" s="225">
        <f t="shared" si="321"/>
        <v>8.6999999999999994E-2</v>
      </c>
      <c r="H245" s="225">
        <f t="shared" si="322"/>
        <v>1.3049999999999999</v>
      </c>
      <c r="I245" s="225">
        <f t="shared" si="323"/>
        <v>0.69599999999999995</v>
      </c>
      <c r="J245" s="561">
        <f t="shared" si="324"/>
        <v>24</v>
      </c>
      <c r="K245" s="456">
        <f t="shared" si="325"/>
        <v>15.25</v>
      </c>
      <c r="L245" s="456">
        <f t="shared" si="326"/>
        <v>39.25</v>
      </c>
      <c r="M245" s="456"/>
      <c r="N245" s="225">
        <f t="shared" si="327"/>
        <v>0.38853503184713378</v>
      </c>
      <c r="O245" s="180">
        <f t="shared" si="328"/>
        <v>3.9681251730822482</v>
      </c>
      <c r="P245" s="180">
        <f t="shared" si="329"/>
        <v>3.2450445859872605</v>
      </c>
      <c r="Q245" s="225">
        <f t="shared" si="330"/>
        <v>0.26454167820548319</v>
      </c>
      <c r="R245" s="225">
        <f t="shared" si="331"/>
        <v>0.49601564663528103</v>
      </c>
      <c r="S245" s="225">
        <f t="shared" si="332"/>
        <v>15</v>
      </c>
      <c r="T245" s="225">
        <f t="shared" si="333"/>
        <v>0.47686247723132963</v>
      </c>
      <c r="U245" s="225">
        <f t="shared" si="334"/>
        <v>0.7947707953855494</v>
      </c>
      <c r="V245" s="225">
        <f t="shared" si="335"/>
        <v>1.2507868255247991</v>
      </c>
      <c r="W245" s="205">
        <f t="shared" si="336"/>
        <v>350</v>
      </c>
      <c r="X245" s="456">
        <f t="shared" si="337"/>
        <v>350</v>
      </c>
      <c r="Z245" s="225">
        <f t="shared" si="338"/>
        <v>0.66606005459508633</v>
      </c>
      <c r="AA245" s="181">
        <f t="shared" si="339"/>
        <v>1.7470427661510461</v>
      </c>
      <c r="AB245" s="181">
        <f t="shared" si="340"/>
        <v>0.1328062141535481</v>
      </c>
      <c r="AC245" s="181"/>
      <c r="AD245" s="181">
        <f t="shared" si="341"/>
        <v>0.76065573770491812</v>
      </c>
      <c r="AE245" s="565">
        <f t="shared" si="342"/>
        <v>788.79310344827582</v>
      </c>
      <c r="AF245" s="548">
        <f t="shared" si="343"/>
        <v>3.8603278688524589E-2</v>
      </c>
      <c r="AH245" s="181">
        <f t="shared" si="344"/>
        <v>0.53465609774615197</v>
      </c>
      <c r="AI245" s="181">
        <f t="shared" si="345"/>
        <v>0.53465609774615197</v>
      </c>
      <c r="AJ245" s="181">
        <f t="shared" si="346"/>
        <v>1.3812267390712236</v>
      </c>
      <c r="AL245" s="565">
        <f t="shared" si="347"/>
        <v>87</v>
      </c>
      <c r="AM245" s="474">
        <f t="shared" si="348"/>
        <v>350</v>
      </c>
      <c r="AO245">
        <f t="shared" si="349"/>
        <v>87</v>
      </c>
      <c r="AP245">
        <f t="shared" si="350"/>
        <v>350</v>
      </c>
      <c r="AR245" s="6">
        <f t="shared" si="314"/>
        <v>2.8571428571428572</v>
      </c>
      <c r="AS245" s="6">
        <f t="shared" si="353"/>
        <v>0.89109349624358669</v>
      </c>
      <c r="AT245" s="6">
        <f t="shared" si="354"/>
        <v>1.9660493608992704</v>
      </c>
      <c r="AU245" s="181">
        <f t="shared" si="355"/>
        <v>0.31188272368525533</v>
      </c>
      <c r="CB245" s="583">
        <f t="shared" si="351"/>
        <v>-50</v>
      </c>
    </row>
    <row r="246" spans="5:80" x14ac:dyDescent="0.2">
      <c r="E246" s="178">
        <v>30</v>
      </c>
      <c r="F246" s="225">
        <f t="shared" si="352"/>
        <v>0.09</v>
      </c>
      <c r="G246" s="225">
        <f t="shared" si="321"/>
        <v>0.09</v>
      </c>
      <c r="H246" s="225">
        <f t="shared" si="322"/>
        <v>1.3499999999999999</v>
      </c>
      <c r="I246" s="225">
        <f t="shared" si="323"/>
        <v>0.72</v>
      </c>
      <c r="J246" s="561">
        <f t="shared" si="324"/>
        <v>24</v>
      </c>
      <c r="K246" s="456">
        <f t="shared" si="325"/>
        <v>15.25</v>
      </c>
      <c r="L246" s="456">
        <f t="shared" si="326"/>
        <v>39.25</v>
      </c>
      <c r="M246" s="456"/>
      <c r="N246" s="225">
        <f t="shared" si="327"/>
        <v>0.38853503184713378</v>
      </c>
      <c r="O246" s="180">
        <f t="shared" si="328"/>
        <v>3.9681251730822482</v>
      </c>
      <c r="P246" s="180">
        <f t="shared" si="329"/>
        <v>3.2450445859872605</v>
      </c>
      <c r="Q246" s="225">
        <f t="shared" si="330"/>
        <v>0.26454167820548319</v>
      </c>
      <c r="R246" s="225">
        <f t="shared" si="331"/>
        <v>0.49601564663528103</v>
      </c>
      <c r="S246" s="225">
        <f t="shared" si="332"/>
        <v>15</v>
      </c>
      <c r="T246" s="225">
        <f t="shared" si="333"/>
        <v>0.49330601092896165</v>
      </c>
      <c r="U246" s="225">
        <f t="shared" si="334"/>
        <v>0.82217668488160289</v>
      </c>
      <c r="V246" s="225">
        <f t="shared" si="335"/>
        <v>1.2939174057153093</v>
      </c>
      <c r="W246" s="205">
        <f t="shared" si="336"/>
        <v>350</v>
      </c>
      <c r="X246" s="456">
        <f t="shared" si="337"/>
        <v>350</v>
      </c>
      <c r="Z246" s="225">
        <f t="shared" si="338"/>
        <v>0.66606005459508633</v>
      </c>
      <c r="AA246" s="181">
        <f t="shared" si="339"/>
        <v>1.7470427661510461</v>
      </c>
      <c r="AB246" s="181">
        <f t="shared" si="340"/>
        <v>0.1328062141535481</v>
      </c>
      <c r="AC246" s="181"/>
      <c r="AD246" s="181">
        <f t="shared" si="341"/>
        <v>0.76065573770491812</v>
      </c>
      <c r="AE246" s="565">
        <f t="shared" si="342"/>
        <v>815.99286563614749</v>
      </c>
      <c r="AF246" s="548">
        <f t="shared" si="343"/>
        <v>3.8603278688524589E-2</v>
      </c>
      <c r="AH246" s="181">
        <f t="shared" si="344"/>
        <v>0.54379618030497934</v>
      </c>
      <c r="AI246" s="181">
        <f t="shared" si="345"/>
        <v>0.54379618030497934</v>
      </c>
      <c r="AJ246" s="181">
        <f t="shared" si="346"/>
        <v>1.387997170596281</v>
      </c>
      <c r="AL246" s="565">
        <f t="shared" si="347"/>
        <v>90</v>
      </c>
      <c r="AM246" s="474">
        <f t="shared" si="348"/>
        <v>350</v>
      </c>
      <c r="AO246">
        <f t="shared" si="349"/>
        <v>90</v>
      </c>
      <c r="AP246">
        <f t="shared" si="350"/>
        <v>350</v>
      </c>
      <c r="AR246" s="6">
        <f t="shared" si="314"/>
        <v>2.8571428571428572</v>
      </c>
      <c r="AS246" s="6">
        <f t="shared" si="353"/>
        <v>0.90632696717496553</v>
      </c>
      <c r="AT246" s="6">
        <f t="shared" si="354"/>
        <v>1.9508158899678918</v>
      </c>
      <c r="AU246" s="181">
        <f t="shared" si="355"/>
        <v>0.31721443851123793</v>
      </c>
      <c r="CB246" s="583">
        <f t="shared" si="351"/>
        <v>-50</v>
      </c>
    </row>
    <row r="247" spans="5:80" x14ac:dyDescent="0.2">
      <c r="E247" s="178">
        <v>31</v>
      </c>
      <c r="F247" s="225">
        <f t="shared" si="352"/>
        <v>9.2999999999999999E-2</v>
      </c>
      <c r="G247" s="225">
        <f t="shared" si="321"/>
        <v>9.2999999999999999E-2</v>
      </c>
      <c r="H247" s="225">
        <f t="shared" si="322"/>
        <v>1.395</v>
      </c>
      <c r="I247" s="225">
        <f t="shared" si="323"/>
        <v>0.74399999999999999</v>
      </c>
      <c r="J247" s="561">
        <f t="shared" si="324"/>
        <v>24</v>
      </c>
      <c r="K247" s="456">
        <f t="shared" si="325"/>
        <v>15.25</v>
      </c>
      <c r="L247" s="456">
        <f t="shared" si="326"/>
        <v>39.25</v>
      </c>
      <c r="M247" s="456"/>
      <c r="N247" s="225">
        <f t="shared" si="327"/>
        <v>0.38853503184713378</v>
      </c>
      <c r="O247" s="180">
        <f t="shared" si="328"/>
        <v>3.9681251730822482</v>
      </c>
      <c r="P247" s="180">
        <f t="shared" si="329"/>
        <v>3.2450445859872605</v>
      </c>
      <c r="Q247" s="225">
        <f t="shared" si="330"/>
        <v>0.26454167820548319</v>
      </c>
      <c r="R247" s="225">
        <f t="shared" si="331"/>
        <v>0.49601564663528103</v>
      </c>
      <c r="S247" s="225">
        <f t="shared" si="332"/>
        <v>15</v>
      </c>
      <c r="T247" s="225">
        <f t="shared" si="333"/>
        <v>0.50974954462659383</v>
      </c>
      <c r="U247" s="225">
        <f t="shared" si="334"/>
        <v>0.84958257437765639</v>
      </c>
      <c r="V247" s="225">
        <f t="shared" si="335"/>
        <v>1.33704798590582</v>
      </c>
      <c r="W247" s="205">
        <f t="shared" si="336"/>
        <v>350</v>
      </c>
      <c r="X247" s="456">
        <f t="shared" si="337"/>
        <v>350</v>
      </c>
      <c r="Z247" s="225">
        <f t="shared" si="338"/>
        <v>0.66606005459508633</v>
      </c>
      <c r="AA247" s="181">
        <f t="shared" si="339"/>
        <v>1.7470427661510461</v>
      </c>
      <c r="AB247" s="181">
        <f t="shared" si="340"/>
        <v>0.1328062141535481</v>
      </c>
      <c r="AC247" s="181"/>
      <c r="AD247" s="181">
        <f t="shared" si="341"/>
        <v>0.76065573770491812</v>
      </c>
      <c r="AE247" s="565">
        <f t="shared" si="342"/>
        <v>843.19262782401904</v>
      </c>
      <c r="AF247" s="548">
        <f t="shared" si="343"/>
        <v>3.8603278688524589E-2</v>
      </c>
      <c r="AH247" s="181">
        <f t="shared" si="344"/>
        <v>0.5527851558891832</v>
      </c>
      <c r="AI247" s="181">
        <f t="shared" si="345"/>
        <v>0.5527851558891832</v>
      </c>
      <c r="AJ247" s="181">
        <f t="shared" si="346"/>
        <v>1.3946556710290245</v>
      </c>
      <c r="AL247" s="565">
        <f t="shared" si="347"/>
        <v>93</v>
      </c>
      <c r="AM247" s="474">
        <f t="shared" si="348"/>
        <v>350</v>
      </c>
      <c r="AO247">
        <f t="shared" si="349"/>
        <v>93</v>
      </c>
      <c r="AP247">
        <f t="shared" si="350"/>
        <v>350</v>
      </c>
      <c r="AR247" s="6">
        <f t="shared" si="314"/>
        <v>2.8571428571428572</v>
      </c>
      <c r="AS247" s="6">
        <f t="shared" si="353"/>
        <v>0.92130859314863878</v>
      </c>
      <c r="AT247" s="6">
        <f t="shared" si="354"/>
        <v>1.9358342639942183</v>
      </c>
      <c r="AU247" s="181">
        <f t="shared" si="355"/>
        <v>0.32245800760202359</v>
      </c>
      <c r="CB247" s="583">
        <f t="shared" si="351"/>
        <v>-50</v>
      </c>
    </row>
    <row r="248" spans="5:80" x14ac:dyDescent="0.2">
      <c r="E248" s="178">
        <v>32</v>
      </c>
      <c r="F248" s="225">
        <f t="shared" si="352"/>
        <v>9.6000000000000002E-2</v>
      </c>
      <c r="G248" s="225">
        <f t="shared" ref="G248:G279" si="356">IF(PLOT_TYPE=1, E248/100*Iout2, min_I*EXP(Q248*rr/100))</f>
        <v>9.6000000000000002E-2</v>
      </c>
      <c r="H248" s="225">
        <f t="shared" ref="H248:H279" si="357">F248*Vout</f>
        <v>1.44</v>
      </c>
      <c r="I248" s="225">
        <f t="shared" ref="I248:I279" si="358">Vout2*G248</f>
        <v>0.76800000000000002</v>
      </c>
      <c r="J248" s="561">
        <f t="shared" si="324"/>
        <v>24</v>
      </c>
      <c r="K248" s="456">
        <f t="shared" si="325"/>
        <v>15.25</v>
      </c>
      <c r="L248" s="456">
        <f t="shared" si="326"/>
        <v>39.25</v>
      </c>
      <c r="M248" s="456"/>
      <c r="N248" s="225">
        <f t="shared" si="327"/>
        <v>0.38853503184713378</v>
      </c>
      <c r="O248" s="180">
        <f t="shared" ref="O248:O279" si="359">N248*J248*Isw_max*0.5*Efficiency*Pout/(Pout+Pout2)</f>
        <v>3.9681251730822482</v>
      </c>
      <c r="P248" s="180">
        <f t="shared" ref="P248:P279" si="360">N248*J248*Isw_max*0.5*Efficiency*(Pout2/Pout_total)</f>
        <v>3.2450445859872605</v>
      </c>
      <c r="Q248" s="225">
        <f t="shared" si="330"/>
        <v>0.26454167820548319</v>
      </c>
      <c r="R248" s="225">
        <f t="shared" ref="R248:R279" si="361">O248/Vout2</f>
        <v>0.49601564663528103</v>
      </c>
      <c r="S248" s="225">
        <f t="shared" ref="S248:S279" si="362">MIN(Vout,O248/F248)</f>
        <v>15</v>
      </c>
      <c r="T248" s="225">
        <f t="shared" ref="T248:T279" si="363">MIN(2*(Vout*F248+Vout2*G248)/(Efficiency*J248*N248), Isw_max)</f>
        <v>0.5261930783242259</v>
      </c>
      <c r="U248" s="225">
        <f t="shared" si="334"/>
        <v>0.87698846387370999</v>
      </c>
      <c r="V248" s="225">
        <f t="shared" si="335"/>
        <v>1.3801785660963304</v>
      </c>
      <c r="W248" s="205">
        <f t="shared" si="336"/>
        <v>350</v>
      </c>
      <c r="X248" s="456">
        <f t="shared" si="337"/>
        <v>350</v>
      </c>
      <c r="Z248" s="225">
        <f t="shared" si="338"/>
        <v>0.66606005459508633</v>
      </c>
      <c r="AA248" s="181">
        <f t="shared" si="339"/>
        <v>1.7470427661510461</v>
      </c>
      <c r="AB248" s="181">
        <f t="shared" ref="AB248:AB279" si="364">0.5*AA248*Z248*Nps*W248/1000*(Pout/(Pout+Pout2))</f>
        <v>0.1328062141535481</v>
      </c>
      <c r="AC248" s="181"/>
      <c r="AD248" s="181">
        <f t="shared" si="341"/>
        <v>0.76065573770491812</v>
      </c>
      <c r="AE248" s="565">
        <f t="shared" ref="AE248:AE279" si="365">MAX(10, F248/(0.5*AD248/1000000*Isw_min*Nps)/1000*Pout_total/Pout)</f>
        <v>870.3923900118906</v>
      </c>
      <c r="AF248" s="548">
        <f t="shared" ref="AF248:AF279" si="366">0.5*AD248/1000000*Isw_min*Nps*W248*1000*(Pout/Pout_total)</f>
        <v>3.8603278688524589E-2</v>
      </c>
      <c r="AH248" s="181">
        <f t="shared" ref="AH248:AH279" si="367">SQRT((H248+I248)/(0.5*L*Fsw_DCM))</f>
        <v>0.56163028001397097</v>
      </c>
      <c r="AI248" s="181">
        <f t="shared" ref="AI248:AI279" si="368">MAX(IF(F248&gt;AB248,T248,AH248),Isw_min)</f>
        <v>0.56163028001397097</v>
      </c>
      <c r="AJ248" s="181">
        <f t="shared" ref="AJ248:AJ279" si="369">IF(F248&gt;AF248, (AI248-Isw_min)/1.08*0.8+1.2, AE248*0.2/350+1)</f>
        <v>1.4012076148251635</v>
      </c>
      <c r="AL248" s="565">
        <f t="shared" ref="AL248:AL279" si="370">F248*1000</f>
        <v>96</v>
      </c>
      <c r="AM248" s="474">
        <f t="shared" ref="AM248:AM279" si="371">IF(F248&gt;AF248, X248, AE248)</f>
        <v>350</v>
      </c>
      <c r="AO248">
        <f t="shared" si="349"/>
        <v>96</v>
      </c>
      <c r="AP248">
        <f t="shared" si="350"/>
        <v>350</v>
      </c>
      <c r="AR248" s="6">
        <f t="shared" si="314"/>
        <v>2.8571428571428572</v>
      </c>
      <c r="AS248" s="6">
        <f t="shared" si="353"/>
        <v>0.93605046668995173</v>
      </c>
      <c r="AT248" s="6">
        <f t="shared" si="354"/>
        <v>1.9210923904529054</v>
      </c>
      <c r="AU248" s="181">
        <f t="shared" si="355"/>
        <v>0.32761766334148312</v>
      </c>
      <c r="CB248" s="583">
        <f t="shared" ref="CB248:CB279" si="372">IF(ABS(F248-Ioutmax_Vinmax)&lt;Iout/200, AM248, -50)</f>
        <v>-50</v>
      </c>
    </row>
    <row r="249" spans="5:80" x14ac:dyDescent="0.2">
      <c r="E249" s="178">
        <v>33</v>
      </c>
      <c r="F249" s="225">
        <f t="shared" ref="F249:F280" si="373">IF(PLOT_TYPE=1, E249/100*Iout_max, min_I*EXP(O249*rr/100))</f>
        <v>9.9000000000000005E-2</v>
      </c>
      <c r="G249" s="225">
        <f t="shared" si="356"/>
        <v>9.9000000000000005E-2</v>
      </c>
      <c r="H249" s="225">
        <f t="shared" si="357"/>
        <v>1.4850000000000001</v>
      </c>
      <c r="I249" s="225">
        <f t="shared" si="358"/>
        <v>0.79200000000000004</v>
      </c>
      <c r="J249" s="561">
        <f t="shared" si="324"/>
        <v>24</v>
      </c>
      <c r="K249" s="456">
        <f t="shared" si="325"/>
        <v>15.25</v>
      </c>
      <c r="L249" s="456">
        <f t="shared" si="326"/>
        <v>39.25</v>
      </c>
      <c r="M249" s="456"/>
      <c r="N249" s="225">
        <f t="shared" si="327"/>
        <v>0.38853503184713378</v>
      </c>
      <c r="O249" s="180">
        <f t="shared" si="359"/>
        <v>3.9681251730822482</v>
      </c>
      <c r="P249" s="180">
        <f t="shared" si="360"/>
        <v>3.2450445859872605</v>
      </c>
      <c r="Q249" s="225">
        <f t="shared" si="330"/>
        <v>0.26454167820548319</v>
      </c>
      <c r="R249" s="225">
        <f t="shared" si="361"/>
        <v>0.49601564663528103</v>
      </c>
      <c r="S249" s="225">
        <f t="shared" si="362"/>
        <v>15</v>
      </c>
      <c r="T249" s="225">
        <f t="shared" si="363"/>
        <v>0.54263661202185787</v>
      </c>
      <c r="U249" s="225">
        <f t="shared" si="334"/>
        <v>0.90439435336976315</v>
      </c>
      <c r="V249" s="225">
        <f t="shared" si="335"/>
        <v>1.4233091462868401</v>
      </c>
      <c r="W249" s="205">
        <f t="shared" si="336"/>
        <v>350</v>
      </c>
      <c r="X249" s="456">
        <f t="shared" si="337"/>
        <v>350</v>
      </c>
      <c r="Z249" s="225">
        <f t="shared" si="338"/>
        <v>0.66606005459508633</v>
      </c>
      <c r="AA249" s="181">
        <f t="shared" si="339"/>
        <v>1.7470427661510461</v>
      </c>
      <c r="AB249" s="181">
        <f t="shared" si="364"/>
        <v>0.1328062141535481</v>
      </c>
      <c r="AC249" s="181"/>
      <c r="AD249" s="181">
        <f t="shared" si="341"/>
        <v>0.76065573770491812</v>
      </c>
      <c r="AE249" s="565">
        <f t="shared" si="365"/>
        <v>897.59215219976215</v>
      </c>
      <c r="AF249" s="548">
        <f t="shared" si="366"/>
        <v>3.8603278688524589E-2</v>
      </c>
      <c r="AH249" s="181">
        <f t="shared" si="367"/>
        <v>0.57033824550499357</v>
      </c>
      <c r="AI249" s="181">
        <f t="shared" si="368"/>
        <v>0.57033824550499357</v>
      </c>
      <c r="AJ249" s="181">
        <f t="shared" si="369"/>
        <v>1.4076579596333285</v>
      </c>
      <c r="AL249" s="565">
        <f t="shared" si="370"/>
        <v>99</v>
      </c>
      <c r="AM249" s="474">
        <f t="shared" si="371"/>
        <v>350</v>
      </c>
      <c r="AO249">
        <f t="shared" si="349"/>
        <v>99</v>
      </c>
      <c r="AP249">
        <f t="shared" si="350"/>
        <v>350</v>
      </c>
      <c r="AR249" s="6">
        <f t="shared" si="314"/>
        <v>2.8571428571428572</v>
      </c>
      <c r="AS249" s="6">
        <f t="shared" si="353"/>
        <v>0.95056374250832265</v>
      </c>
      <c r="AT249" s="6">
        <f t="shared" si="354"/>
        <v>1.9065791146345346</v>
      </c>
      <c r="AU249" s="181">
        <f t="shared" si="355"/>
        <v>0.33269730987791291</v>
      </c>
      <c r="CB249" s="583">
        <f t="shared" si="372"/>
        <v>-50</v>
      </c>
    </row>
    <row r="250" spans="5:80" x14ac:dyDescent="0.2">
      <c r="E250" s="178">
        <v>34</v>
      </c>
      <c r="F250" s="225">
        <f t="shared" si="373"/>
        <v>0.10200000000000001</v>
      </c>
      <c r="G250" s="225">
        <f t="shared" si="356"/>
        <v>0.10200000000000001</v>
      </c>
      <c r="H250" s="225">
        <f t="shared" si="357"/>
        <v>1.53</v>
      </c>
      <c r="I250" s="225">
        <f t="shared" si="358"/>
        <v>0.81600000000000006</v>
      </c>
      <c r="J250" s="561">
        <f t="shared" si="324"/>
        <v>24</v>
      </c>
      <c r="K250" s="456">
        <f t="shared" si="325"/>
        <v>15.25</v>
      </c>
      <c r="L250" s="456">
        <f t="shared" si="326"/>
        <v>39.25</v>
      </c>
      <c r="M250" s="456"/>
      <c r="N250" s="225">
        <f t="shared" si="327"/>
        <v>0.38853503184713378</v>
      </c>
      <c r="O250" s="180">
        <f t="shared" si="359"/>
        <v>3.9681251730822482</v>
      </c>
      <c r="P250" s="180">
        <f t="shared" si="360"/>
        <v>3.2450445859872605</v>
      </c>
      <c r="Q250" s="225">
        <f t="shared" si="330"/>
        <v>0.26454167820548319</v>
      </c>
      <c r="R250" s="225">
        <f t="shared" si="361"/>
        <v>0.49601564663528103</v>
      </c>
      <c r="S250" s="225">
        <f t="shared" si="362"/>
        <v>15</v>
      </c>
      <c r="T250" s="225">
        <f t="shared" si="363"/>
        <v>0.55908014571948994</v>
      </c>
      <c r="U250" s="225">
        <f t="shared" si="334"/>
        <v>0.93180024286581664</v>
      </c>
      <c r="V250" s="225">
        <f t="shared" si="335"/>
        <v>1.4664397264773508</v>
      </c>
      <c r="W250" s="205">
        <f t="shared" si="336"/>
        <v>350</v>
      </c>
      <c r="X250" s="456">
        <f t="shared" si="337"/>
        <v>350</v>
      </c>
      <c r="Z250" s="225">
        <f t="shared" si="338"/>
        <v>0.66606005459508633</v>
      </c>
      <c r="AA250" s="181">
        <f t="shared" si="339"/>
        <v>1.7470427661510461</v>
      </c>
      <c r="AB250" s="181">
        <f t="shared" si="364"/>
        <v>0.1328062141535481</v>
      </c>
      <c r="AC250" s="181"/>
      <c r="AD250" s="181">
        <f t="shared" si="341"/>
        <v>0.76065573770491812</v>
      </c>
      <c r="AE250" s="565">
        <f t="shared" si="365"/>
        <v>924.79191438763382</v>
      </c>
      <c r="AF250" s="548">
        <f t="shared" si="366"/>
        <v>3.8603278688524589E-2</v>
      </c>
      <c r="AH250" s="181">
        <f t="shared" si="367"/>
        <v>0.57891524176070641</v>
      </c>
      <c r="AI250" s="181">
        <f t="shared" si="368"/>
        <v>0.57891524176070641</v>
      </c>
      <c r="AJ250" s="181">
        <f t="shared" si="369"/>
        <v>1.4140112901931159</v>
      </c>
      <c r="AL250" s="565">
        <f t="shared" si="370"/>
        <v>102.00000000000001</v>
      </c>
      <c r="AM250" s="474">
        <f t="shared" si="371"/>
        <v>350</v>
      </c>
      <c r="AO250">
        <f t="shared" si="349"/>
        <v>102.00000000000001</v>
      </c>
      <c r="AP250">
        <f t="shared" si="350"/>
        <v>350</v>
      </c>
      <c r="AR250" s="6">
        <f t="shared" si="314"/>
        <v>2.8571428571428572</v>
      </c>
      <c r="AS250" s="6">
        <f t="shared" si="353"/>
        <v>0.96485873626784402</v>
      </c>
      <c r="AT250" s="6">
        <f t="shared" si="354"/>
        <v>1.8922841208750132</v>
      </c>
      <c r="AU250" s="181">
        <f t="shared" si="355"/>
        <v>0.33770055769374541</v>
      </c>
      <c r="CB250" s="583">
        <f t="shared" si="372"/>
        <v>-50</v>
      </c>
    </row>
    <row r="251" spans="5:80" x14ac:dyDescent="0.2">
      <c r="E251" s="178">
        <v>35</v>
      </c>
      <c r="F251" s="225">
        <f t="shared" si="373"/>
        <v>0.105</v>
      </c>
      <c r="G251" s="225">
        <f t="shared" si="356"/>
        <v>0.105</v>
      </c>
      <c r="H251" s="225">
        <f t="shared" si="357"/>
        <v>1.575</v>
      </c>
      <c r="I251" s="225">
        <f t="shared" si="358"/>
        <v>0.84</v>
      </c>
      <c r="J251" s="561">
        <f t="shared" si="324"/>
        <v>24</v>
      </c>
      <c r="K251" s="456">
        <f t="shared" si="325"/>
        <v>15.25</v>
      </c>
      <c r="L251" s="456">
        <f t="shared" si="326"/>
        <v>39.25</v>
      </c>
      <c r="M251" s="456"/>
      <c r="N251" s="225">
        <f t="shared" si="327"/>
        <v>0.38853503184713378</v>
      </c>
      <c r="O251" s="180">
        <f t="shared" si="359"/>
        <v>3.9681251730822482</v>
      </c>
      <c r="P251" s="180">
        <f t="shared" si="360"/>
        <v>3.2450445859872605</v>
      </c>
      <c r="Q251" s="225">
        <f t="shared" si="330"/>
        <v>0.26454167820548319</v>
      </c>
      <c r="R251" s="225">
        <f t="shared" si="361"/>
        <v>0.49601564663528103</v>
      </c>
      <c r="S251" s="225">
        <f t="shared" si="362"/>
        <v>15</v>
      </c>
      <c r="T251" s="225">
        <f t="shared" si="363"/>
        <v>0.57552367941712201</v>
      </c>
      <c r="U251" s="225">
        <f t="shared" si="334"/>
        <v>0.95920613236187013</v>
      </c>
      <c r="V251" s="225">
        <f t="shared" si="335"/>
        <v>1.5095703066678612</v>
      </c>
      <c r="W251" s="205">
        <f t="shared" si="336"/>
        <v>350</v>
      </c>
      <c r="X251" s="456">
        <f t="shared" si="337"/>
        <v>350</v>
      </c>
      <c r="Z251" s="225">
        <f t="shared" si="338"/>
        <v>0.66606005459508633</v>
      </c>
      <c r="AA251" s="181">
        <f t="shared" si="339"/>
        <v>1.7470427661510461</v>
      </c>
      <c r="AB251" s="181">
        <f t="shared" si="364"/>
        <v>0.1328062141535481</v>
      </c>
      <c r="AC251" s="181"/>
      <c r="AD251" s="181">
        <f t="shared" si="341"/>
        <v>0.76065573770491812</v>
      </c>
      <c r="AE251" s="565">
        <f t="shared" si="365"/>
        <v>951.99167657550527</v>
      </c>
      <c r="AF251" s="548">
        <f t="shared" si="366"/>
        <v>3.8603278688524589E-2</v>
      </c>
      <c r="AH251" s="181">
        <f t="shared" si="367"/>
        <v>0.58736700622353655</v>
      </c>
      <c r="AI251" s="181">
        <f t="shared" si="368"/>
        <v>0.58736700622353655</v>
      </c>
      <c r="AJ251" s="181">
        <f t="shared" si="369"/>
        <v>1.4202718564618788</v>
      </c>
      <c r="AL251" s="565">
        <f t="shared" si="370"/>
        <v>105</v>
      </c>
      <c r="AM251" s="474">
        <f t="shared" si="371"/>
        <v>350</v>
      </c>
      <c r="AO251">
        <f t="shared" si="349"/>
        <v>105</v>
      </c>
      <c r="AP251">
        <f t="shared" si="350"/>
        <v>350</v>
      </c>
      <c r="AR251" s="6">
        <f t="shared" si="314"/>
        <v>2.8571428571428572</v>
      </c>
      <c r="AS251" s="6">
        <f t="shared" si="353"/>
        <v>0.97894501037256099</v>
      </c>
      <c r="AT251" s="6">
        <f t="shared" si="354"/>
        <v>1.8781978467702962</v>
      </c>
      <c r="AU251" s="181">
        <f t="shared" si="355"/>
        <v>0.34263075363039636</v>
      </c>
      <c r="CB251" s="583">
        <f t="shared" si="372"/>
        <v>-50</v>
      </c>
    </row>
    <row r="252" spans="5:80" x14ac:dyDescent="0.2">
      <c r="E252" s="178">
        <v>36</v>
      </c>
      <c r="F252" s="225">
        <f t="shared" si="373"/>
        <v>0.108</v>
      </c>
      <c r="G252" s="225">
        <f t="shared" si="356"/>
        <v>0.108</v>
      </c>
      <c r="H252" s="225">
        <f t="shared" si="357"/>
        <v>1.6199999999999999</v>
      </c>
      <c r="I252" s="225">
        <f t="shared" si="358"/>
        <v>0.86399999999999999</v>
      </c>
      <c r="J252" s="561">
        <f t="shared" si="324"/>
        <v>24</v>
      </c>
      <c r="K252" s="456">
        <f t="shared" si="325"/>
        <v>15.25</v>
      </c>
      <c r="L252" s="456">
        <f t="shared" si="326"/>
        <v>39.25</v>
      </c>
      <c r="M252" s="456"/>
      <c r="N252" s="225">
        <f t="shared" si="327"/>
        <v>0.38853503184713378</v>
      </c>
      <c r="O252" s="180">
        <f t="shared" si="359"/>
        <v>3.9681251730822482</v>
      </c>
      <c r="P252" s="180">
        <f t="shared" si="360"/>
        <v>3.2450445859872605</v>
      </c>
      <c r="Q252" s="225">
        <f t="shared" si="330"/>
        <v>0.26454167820548319</v>
      </c>
      <c r="R252" s="225">
        <f t="shared" si="361"/>
        <v>0.49601564663528103</v>
      </c>
      <c r="S252" s="225">
        <f t="shared" si="362"/>
        <v>15</v>
      </c>
      <c r="T252" s="225">
        <f t="shared" si="363"/>
        <v>0.59196721311475409</v>
      </c>
      <c r="U252" s="225">
        <f t="shared" si="334"/>
        <v>0.98661202185792352</v>
      </c>
      <c r="V252" s="225">
        <f t="shared" si="335"/>
        <v>1.5527008868583716</v>
      </c>
      <c r="W252" s="205">
        <f t="shared" si="336"/>
        <v>350</v>
      </c>
      <c r="X252" s="456">
        <f t="shared" si="337"/>
        <v>350</v>
      </c>
      <c r="Z252" s="225">
        <f t="shared" si="338"/>
        <v>0.66606005459508633</v>
      </c>
      <c r="AA252" s="181">
        <f t="shared" si="339"/>
        <v>1.7470427661510461</v>
      </c>
      <c r="AB252" s="181">
        <f t="shared" si="364"/>
        <v>0.1328062141535481</v>
      </c>
      <c r="AC252" s="181"/>
      <c r="AD252" s="181">
        <f t="shared" si="341"/>
        <v>0.76065573770491812</v>
      </c>
      <c r="AE252" s="565">
        <f t="shared" si="365"/>
        <v>979.19143876337694</v>
      </c>
      <c r="AF252" s="548">
        <f t="shared" si="366"/>
        <v>3.8603278688524589E-2</v>
      </c>
      <c r="AH252" s="181">
        <f t="shared" si="367"/>
        <v>0.5956988692763675</v>
      </c>
      <c r="AI252" s="181">
        <f t="shared" si="368"/>
        <v>0.5956988692763675</v>
      </c>
      <c r="AJ252" s="181">
        <f t="shared" si="369"/>
        <v>1.4264436068713833</v>
      </c>
      <c r="AL252" s="565">
        <f t="shared" si="370"/>
        <v>108</v>
      </c>
      <c r="AM252" s="474">
        <f t="shared" si="371"/>
        <v>350</v>
      </c>
      <c r="AO252">
        <f t="shared" si="349"/>
        <v>108</v>
      </c>
      <c r="AP252">
        <f t="shared" si="350"/>
        <v>350</v>
      </c>
      <c r="AR252" s="6">
        <f t="shared" si="314"/>
        <v>2.8571428571428572</v>
      </c>
      <c r="AS252" s="6">
        <f t="shared" si="353"/>
        <v>0.99283144879394603</v>
      </c>
      <c r="AT252" s="6">
        <f t="shared" si="354"/>
        <v>1.8643114083489112</v>
      </c>
      <c r="AU252" s="181">
        <f t="shared" si="355"/>
        <v>0.34749100707788111</v>
      </c>
      <c r="CB252" s="583">
        <f t="shared" si="372"/>
        <v>-50</v>
      </c>
    </row>
    <row r="253" spans="5:80" x14ac:dyDescent="0.2">
      <c r="E253" s="178">
        <v>37</v>
      </c>
      <c r="F253" s="225">
        <f t="shared" si="373"/>
        <v>0.111</v>
      </c>
      <c r="G253" s="225">
        <f t="shared" si="356"/>
        <v>0.111</v>
      </c>
      <c r="H253" s="225">
        <f t="shared" si="357"/>
        <v>1.665</v>
      </c>
      <c r="I253" s="225">
        <f t="shared" si="358"/>
        <v>0.88800000000000001</v>
      </c>
      <c r="J253" s="561">
        <f t="shared" si="324"/>
        <v>24</v>
      </c>
      <c r="K253" s="456">
        <f t="shared" si="325"/>
        <v>15.25</v>
      </c>
      <c r="L253" s="456">
        <f t="shared" si="326"/>
        <v>39.25</v>
      </c>
      <c r="M253" s="456"/>
      <c r="N253" s="225">
        <f t="shared" si="327"/>
        <v>0.38853503184713378</v>
      </c>
      <c r="O253" s="180">
        <f t="shared" si="359"/>
        <v>3.9681251730822482</v>
      </c>
      <c r="P253" s="180">
        <f t="shared" si="360"/>
        <v>3.2450445859872605</v>
      </c>
      <c r="Q253" s="225">
        <f t="shared" si="330"/>
        <v>0.26454167820548319</v>
      </c>
      <c r="R253" s="225">
        <f t="shared" si="361"/>
        <v>0.49601564663528103</v>
      </c>
      <c r="S253" s="225">
        <f t="shared" si="362"/>
        <v>15</v>
      </c>
      <c r="T253" s="225">
        <f t="shared" si="363"/>
        <v>0.60841074681238605</v>
      </c>
      <c r="U253" s="225">
        <f t="shared" si="334"/>
        <v>1.0140179113539767</v>
      </c>
      <c r="V253" s="225">
        <f t="shared" si="335"/>
        <v>1.5958314670488816</v>
      </c>
      <c r="W253" s="205">
        <f t="shared" si="336"/>
        <v>350</v>
      </c>
      <c r="X253" s="456">
        <f t="shared" si="337"/>
        <v>350</v>
      </c>
      <c r="Z253" s="225">
        <f t="shared" si="338"/>
        <v>0.66606005459508633</v>
      </c>
      <c r="AA253" s="181">
        <f t="shared" si="339"/>
        <v>1.7470427661510461</v>
      </c>
      <c r="AB253" s="181">
        <f t="shared" si="364"/>
        <v>0.1328062141535481</v>
      </c>
      <c r="AC253" s="181"/>
      <c r="AD253" s="181">
        <f t="shared" si="341"/>
        <v>0.76065573770491812</v>
      </c>
      <c r="AE253" s="565">
        <f t="shared" si="365"/>
        <v>1006.3912009512484</v>
      </c>
      <c r="AF253" s="548">
        <f t="shared" si="366"/>
        <v>3.8603278688524589E-2</v>
      </c>
      <c r="AH253" s="181">
        <f t="shared" si="367"/>
        <v>0.60391579356255098</v>
      </c>
      <c r="AI253" s="181">
        <f t="shared" si="368"/>
        <v>0.60391579356255098</v>
      </c>
      <c r="AJ253" s="181">
        <f t="shared" si="369"/>
        <v>1.4325302174537415</v>
      </c>
      <c r="AL253" s="565">
        <f t="shared" si="370"/>
        <v>111</v>
      </c>
      <c r="AM253" s="474">
        <f t="shared" si="371"/>
        <v>350</v>
      </c>
      <c r="AO253">
        <f t="shared" si="349"/>
        <v>111</v>
      </c>
      <c r="AP253">
        <f t="shared" si="350"/>
        <v>350</v>
      </c>
      <c r="AR253" s="6">
        <f t="shared" si="314"/>
        <v>2.8571428571428572</v>
      </c>
      <c r="AS253" s="6">
        <f t="shared" si="353"/>
        <v>1.0065263226042518</v>
      </c>
      <c r="AT253" s="6">
        <f t="shared" si="354"/>
        <v>1.8506165345386054</v>
      </c>
      <c r="AU253" s="181">
        <f t="shared" si="355"/>
        <v>0.35228421291148809</v>
      </c>
      <c r="CB253" s="583">
        <f t="shared" si="372"/>
        <v>-50</v>
      </c>
    </row>
    <row r="254" spans="5:80" x14ac:dyDescent="0.2">
      <c r="E254" s="178">
        <v>38</v>
      </c>
      <c r="F254" s="225">
        <f t="shared" si="373"/>
        <v>0.11399999999999999</v>
      </c>
      <c r="G254" s="225">
        <f t="shared" si="356"/>
        <v>0.11399999999999999</v>
      </c>
      <c r="H254" s="225">
        <f t="shared" si="357"/>
        <v>1.71</v>
      </c>
      <c r="I254" s="225">
        <f t="shared" si="358"/>
        <v>0.91199999999999992</v>
      </c>
      <c r="J254" s="561">
        <f t="shared" si="324"/>
        <v>24</v>
      </c>
      <c r="K254" s="456">
        <f t="shared" si="325"/>
        <v>15.25</v>
      </c>
      <c r="L254" s="456">
        <f t="shared" si="326"/>
        <v>39.25</v>
      </c>
      <c r="M254" s="456"/>
      <c r="N254" s="225">
        <f t="shared" si="327"/>
        <v>0.38853503184713378</v>
      </c>
      <c r="O254" s="180">
        <f t="shared" si="359"/>
        <v>3.9681251730822482</v>
      </c>
      <c r="P254" s="180">
        <f t="shared" si="360"/>
        <v>3.2450445859872605</v>
      </c>
      <c r="Q254" s="225">
        <f t="shared" si="330"/>
        <v>0.26454167820548319</v>
      </c>
      <c r="R254" s="225">
        <f t="shared" si="361"/>
        <v>0.49601564663528103</v>
      </c>
      <c r="S254" s="225">
        <f t="shared" si="362"/>
        <v>15</v>
      </c>
      <c r="T254" s="225">
        <f t="shared" si="363"/>
        <v>0.62485428051001812</v>
      </c>
      <c r="U254" s="225">
        <f t="shared" si="334"/>
        <v>1.0414238008500303</v>
      </c>
      <c r="V254" s="225">
        <f t="shared" si="335"/>
        <v>1.638962047239392</v>
      </c>
      <c r="W254" s="205">
        <f t="shared" si="336"/>
        <v>350</v>
      </c>
      <c r="X254" s="456">
        <f t="shared" si="337"/>
        <v>350</v>
      </c>
      <c r="Z254" s="225">
        <f t="shared" si="338"/>
        <v>0.66606005459508633</v>
      </c>
      <c r="AA254" s="181">
        <f t="shared" si="339"/>
        <v>1.7470427661510461</v>
      </c>
      <c r="AB254" s="181">
        <f t="shared" si="364"/>
        <v>0.1328062141535481</v>
      </c>
      <c r="AC254" s="181"/>
      <c r="AD254" s="181">
        <f t="shared" si="341"/>
        <v>0.76065573770491812</v>
      </c>
      <c r="AE254" s="565">
        <f t="shared" si="365"/>
        <v>1033.59096313912</v>
      </c>
      <c r="AF254" s="548">
        <f t="shared" si="366"/>
        <v>3.8603278688524589E-2</v>
      </c>
      <c r="AH254" s="181">
        <f t="shared" si="367"/>
        <v>0.61202240855333756</v>
      </c>
      <c r="AI254" s="181">
        <f t="shared" si="368"/>
        <v>0.61202240855333756</v>
      </c>
      <c r="AJ254" s="181">
        <f t="shared" si="369"/>
        <v>1.4385351174469168</v>
      </c>
      <c r="AL254" s="565">
        <f t="shared" si="370"/>
        <v>113.99999999999999</v>
      </c>
      <c r="AM254" s="474">
        <f t="shared" si="371"/>
        <v>350</v>
      </c>
      <c r="AO254">
        <f t="shared" si="349"/>
        <v>113.99999999999999</v>
      </c>
      <c r="AP254">
        <f t="shared" si="350"/>
        <v>350</v>
      </c>
      <c r="AR254" s="6">
        <f t="shared" si="314"/>
        <v>2.8571428571428572</v>
      </c>
      <c r="AS254" s="6">
        <f t="shared" si="353"/>
        <v>1.0200373475888962</v>
      </c>
      <c r="AT254" s="6">
        <f t="shared" si="354"/>
        <v>1.837105509553961</v>
      </c>
      <c r="AU254" s="181">
        <f t="shared" si="355"/>
        <v>0.35701307165611368</v>
      </c>
      <c r="CB254" s="583">
        <f t="shared" si="372"/>
        <v>-50</v>
      </c>
    </row>
    <row r="255" spans="5:80" x14ac:dyDescent="0.2">
      <c r="E255" s="178">
        <v>39</v>
      </c>
      <c r="F255" s="225">
        <f t="shared" si="373"/>
        <v>0.11699999999999999</v>
      </c>
      <c r="G255" s="225">
        <f t="shared" si="356"/>
        <v>0.11699999999999999</v>
      </c>
      <c r="H255" s="225">
        <f t="shared" si="357"/>
        <v>1.7549999999999999</v>
      </c>
      <c r="I255" s="225">
        <f t="shared" si="358"/>
        <v>0.93599999999999994</v>
      </c>
      <c r="J255" s="561">
        <f t="shared" si="324"/>
        <v>24</v>
      </c>
      <c r="K255" s="456">
        <f t="shared" si="325"/>
        <v>15.25</v>
      </c>
      <c r="L255" s="456">
        <f t="shared" si="326"/>
        <v>39.25</v>
      </c>
      <c r="M255" s="456"/>
      <c r="N255" s="225">
        <f t="shared" si="327"/>
        <v>0.38853503184713378</v>
      </c>
      <c r="O255" s="180">
        <f t="shared" si="359"/>
        <v>3.9681251730822482</v>
      </c>
      <c r="P255" s="180">
        <f t="shared" si="360"/>
        <v>3.2450445859872605</v>
      </c>
      <c r="Q255" s="225">
        <f t="shared" si="330"/>
        <v>0.26454167820548319</v>
      </c>
      <c r="R255" s="225">
        <f t="shared" si="361"/>
        <v>0.49601564663528103</v>
      </c>
      <c r="S255" s="225">
        <f t="shared" si="362"/>
        <v>15</v>
      </c>
      <c r="T255" s="225">
        <f t="shared" si="363"/>
        <v>0.6412978142076502</v>
      </c>
      <c r="U255" s="225">
        <f t="shared" si="334"/>
        <v>1.0688296903460837</v>
      </c>
      <c r="V255" s="225">
        <f t="shared" si="335"/>
        <v>1.6820926274299022</v>
      </c>
      <c r="W255" s="205">
        <f t="shared" si="336"/>
        <v>350</v>
      </c>
      <c r="X255" s="456">
        <f t="shared" si="337"/>
        <v>350</v>
      </c>
      <c r="Z255" s="225">
        <f t="shared" si="338"/>
        <v>0.66606005459508633</v>
      </c>
      <c r="AA255" s="181">
        <f t="shared" si="339"/>
        <v>1.7470427661510461</v>
      </c>
      <c r="AB255" s="181">
        <f t="shared" si="364"/>
        <v>0.1328062141535481</v>
      </c>
      <c r="AC255" s="181"/>
      <c r="AD255" s="181">
        <f t="shared" si="341"/>
        <v>0.76065573770491812</v>
      </c>
      <c r="AE255" s="565">
        <f t="shared" si="365"/>
        <v>1060.7907253269916</v>
      </c>
      <c r="AF255" s="548">
        <f t="shared" si="366"/>
        <v>3.8603278688524589E-2</v>
      </c>
      <c r="AH255" s="181">
        <f t="shared" si="367"/>
        <v>0.6200230410465174</v>
      </c>
      <c r="AI255" s="181">
        <f t="shared" si="368"/>
        <v>0.6200230410465174</v>
      </c>
      <c r="AJ255" s="181">
        <f t="shared" si="369"/>
        <v>1.4444615118863091</v>
      </c>
      <c r="AL255" s="565">
        <f t="shared" si="370"/>
        <v>117</v>
      </c>
      <c r="AM255" s="474">
        <f t="shared" si="371"/>
        <v>350</v>
      </c>
      <c r="AO255">
        <f t="shared" si="349"/>
        <v>117</v>
      </c>
      <c r="AP255">
        <f t="shared" si="350"/>
        <v>350</v>
      </c>
      <c r="AR255" s="6">
        <f t="shared" si="314"/>
        <v>2.8571428571428572</v>
      </c>
      <c r="AS255" s="6">
        <f t="shared" si="353"/>
        <v>1.0333717350775291</v>
      </c>
      <c r="AT255" s="6">
        <f t="shared" si="354"/>
        <v>1.8237711220653281</v>
      </c>
      <c r="AU255" s="181">
        <f t="shared" si="355"/>
        <v>0.36168010727713518</v>
      </c>
      <c r="CB255" s="583">
        <f t="shared" si="372"/>
        <v>-50</v>
      </c>
    </row>
    <row r="256" spans="5:80" x14ac:dyDescent="0.2">
      <c r="E256" s="178">
        <v>40</v>
      </c>
      <c r="F256" s="225">
        <f t="shared" si="373"/>
        <v>0.12</v>
      </c>
      <c r="G256" s="225">
        <f t="shared" si="356"/>
        <v>0.12</v>
      </c>
      <c r="H256" s="225">
        <f t="shared" si="357"/>
        <v>1.7999999999999998</v>
      </c>
      <c r="I256" s="225">
        <f t="shared" si="358"/>
        <v>0.96</v>
      </c>
      <c r="J256" s="561">
        <f t="shared" si="324"/>
        <v>24</v>
      </c>
      <c r="K256" s="456">
        <f t="shared" si="325"/>
        <v>15.25</v>
      </c>
      <c r="L256" s="456">
        <f t="shared" si="326"/>
        <v>39.25</v>
      </c>
      <c r="M256" s="456"/>
      <c r="N256" s="225">
        <f t="shared" si="327"/>
        <v>0.38853503184713378</v>
      </c>
      <c r="O256" s="180">
        <f t="shared" si="359"/>
        <v>3.9681251730822482</v>
      </c>
      <c r="P256" s="180">
        <f t="shared" si="360"/>
        <v>3.2450445859872605</v>
      </c>
      <c r="Q256" s="225">
        <f t="shared" si="330"/>
        <v>0.26454167820548319</v>
      </c>
      <c r="R256" s="225">
        <f t="shared" si="361"/>
        <v>0.49601564663528103</v>
      </c>
      <c r="S256" s="225">
        <f t="shared" si="362"/>
        <v>15</v>
      </c>
      <c r="T256" s="225">
        <f t="shared" si="363"/>
        <v>0.65774134790528227</v>
      </c>
      <c r="U256" s="225">
        <f t="shared" si="334"/>
        <v>1.096235579842137</v>
      </c>
      <c r="V256" s="225">
        <f t="shared" si="335"/>
        <v>1.7252232076204126</v>
      </c>
      <c r="W256" s="205">
        <f t="shared" si="336"/>
        <v>350</v>
      </c>
      <c r="X256" s="456">
        <f t="shared" si="337"/>
        <v>350</v>
      </c>
      <c r="Z256" s="225">
        <f t="shared" si="338"/>
        <v>0.66606005459508633</v>
      </c>
      <c r="AA256" s="181">
        <f t="shared" si="339"/>
        <v>1.7470427661510461</v>
      </c>
      <c r="AB256" s="181">
        <f t="shared" si="364"/>
        <v>0.1328062141535481</v>
      </c>
      <c r="AC256" s="181"/>
      <c r="AD256" s="181">
        <f t="shared" si="341"/>
        <v>0.76065573770491812</v>
      </c>
      <c r="AE256" s="565">
        <f t="shared" si="365"/>
        <v>1087.9904875148632</v>
      </c>
      <c r="AF256" s="548">
        <f t="shared" si="366"/>
        <v>3.8603278688524589E-2</v>
      </c>
      <c r="AH256" s="181">
        <f t="shared" si="367"/>
        <v>0.62792174216674024</v>
      </c>
      <c r="AI256" s="181">
        <f t="shared" si="368"/>
        <v>0.62792174216674024</v>
      </c>
      <c r="AJ256" s="181">
        <f t="shared" si="369"/>
        <v>1.4503124016049926</v>
      </c>
      <c r="AL256" s="565">
        <f t="shared" si="370"/>
        <v>120</v>
      </c>
      <c r="AM256" s="474">
        <f t="shared" si="371"/>
        <v>350</v>
      </c>
      <c r="AO256">
        <f t="shared" si="349"/>
        <v>120</v>
      </c>
      <c r="AP256">
        <f t="shared" si="350"/>
        <v>350</v>
      </c>
      <c r="AR256" s="6">
        <f t="shared" si="314"/>
        <v>2.8571428571428572</v>
      </c>
      <c r="AS256" s="6">
        <f t="shared" si="353"/>
        <v>1.0465362369445672</v>
      </c>
      <c r="AT256" s="6">
        <f t="shared" si="354"/>
        <v>1.81060662019829</v>
      </c>
      <c r="AU256" s="181">
        <f t="shared" si="355"/>
        <v>0.36628768293059849</v>
      </c>
      <c r="CB256" s="583">
        <f t="shared" si="372"/>
        <v>-50</v>
      </c>
    </row>
    <row r="257" spans="5:80" x14ac:dyDescent="0.2">
      <c r="E257" s="178">
        <v>41</v>
      </c>
      <c r="F257" s="225">
        <f t="shared" si="373"/>
        <v>0.12299999999999998</v>
      </c>
      <c r="G257" s="225">
        <f t="shared" si="356"/>
        <v>0.12299999999999998</v>
      </c>
      <c r="H257" s="225">
        <f t="shared" si="357"/>
        <v>1.8449999999999998</v>
      </c>
      <c r="I257" s="225">
        <f t="shared" si="358"/>
        <v>0.98399999999999987</v>
      </c>
      <c r="J257" s="561">
        <f t="shared" si="324"/>
        <v>24</v>
      </c>
      <c r="K257" s="456">
        <f t="shared" si="325"/>
        <v>15.25</v>
      </c>
      <c r="L257" s="456">
        <f t="shared" si="326"/>
        <v>39.25</v>
      </c>
      <c r="M257" s="456"/>
      <c r="N257" s="225">
        <f t="shared" si="327"/>
        <v>0.38853503184713378</v>
      </c>
      <c r="O257" s="180">
        <f t="shared" si="359"/>
        <v>3.9681251730822482</v>
      </c>
      <c r="P257" s="180">
        <f t="shared" si="360"/>
        <v>3.2450445859872605</v>
      </c>
      <c r="Q257" s="225">
        <f t="shared" si="330"/>
        <v>0.26454167820548319</v>
      </c>
      <c r="R257" s="225">
        <f t="shared" si="361"/>
        <v>0.49601564663528103</v>
      </c>
      <c r="S257" s="225">
        <f t="shared" si="362"/>
        <v>15</v>
      </c>
      <c r="T257" s="225">
        <f t="shared" si="363"/>
        <v>0.67418488160291423</v>
      </c>
      <c r="U257" s="225">
        <f t="shared" si="334"/>
        <v>1.1236414693381904</v>
      </c>
      <c r="V257" s="225">
        <f t="shared" si="335"/>
        <v>1.7683537878109228</v>
      </c>
      <c r="W257" s="205">
        <f t="shared" si="336"/>
        <v>350</v>
      </c>
      <c r="X257" s="456">
        <f t="shared" si="337"/>
        <v>345.78203319246984</v>
      </c>
      <c r="Z257" s="225">
        <f t="shared" si="338"/>
        <v>0.66606005459508633</v>
      </c>
      <c r="AA257" s="181">
        <f t="shared" si="339"/>
        <v>1.7470427661510461</v>
      </c>
      <c r="AB257" s="181">
        <f t="shared" si="364"/>
        <v>0.1328062141535481</v>
      </c>
      <c r="AC257" s="181"/>
      <c r="AD257" s="181">
        <f t="shared" si="341"/>
        <v>0.76065573770491812</v>
      </c>
      <c r="AE257" s="565">
        <f t="shared" si="365"/>
        <v>1115.1902497027347</v>
      </c>
      <c r="AF257" s="548">
        <f t="shared" si="366"/>
        <v>3.8603278688524589E-2</v>
      </c>
      <c r="AH257" s="181">
        <f t="shared" si="367"/>
        <v>0.63572231134580848</v>
      </c>
      <c r="AI257" s="181">
        <f t="shared" si="368"/>
        <v>0.63572231134580848</v>
      </c>
      <c r="AJ257" s="181">
        <f t="shared" si="369"/>
        <v>1.456090600996895</v>
      </c>
      <c r="AL257" s="565">
        <f t="shared" si="370"/>
        <v>122.99999999999999</v>
      </c>
      <c r="AM257" s="474">
        <f t="shared" si="371"/>
        <v>345.78203319246984</v>
      </c>
      <c r="AO257">
        <f t="shared" si="349"/>
        <v>122.99999999999999</v>
      </c>
      <c r="AP257">
        <f t="shared" si="350"/>
        <v>345.78203319246984</v>
      </c>
      <c r="AR257" s="6">
        <f t="shared" si="314"/>
        <v>2.8919952571491132</v>
      </c>
      <c r="AS257" s="6">
        <f t="shared" si="353"/>
        <v>1.0595371855763476</v>
      </c>
      <c r="AT257" s="6">
        <f t="shared" si="354"/>
        <v>1.8324580715727656</v>
      </c>
      <c r="AU257" s="181">
        <f t="shared" si="355"/>
        <v>0.36636892227161671</v>
      </c>
      <c r="CB257" s="583">
        <f t="shared" si="372"/>
        <v>-50</v>
      </c>
    </row>
    <row r="258" spans="5:80" x14ac:dyDescent="0.2">
      <c r="E258" s="178">
        <v>42</v>
      </c>
      <c r="F258" s="225">
        <f t="shared" si="373"/>
        <v>0.126</v>
      </c>
      <c r="G258" s="225">
        <f t="shared" si="356"/>
        <v>0.126</v>
      </c>
      <c r="H258" s="225">
        <f t="shared" si="357"/>
        <v>1.8900000000000001</v>
      </c>
      <c r="I258" s="225">
        <f t="shared" si="358"/>
        <v>1.008</v>
      </c>
      <c r="J258" s="561">
        <f t="shared" si="324"/>
        <v>24</v>
      </c>
      <c r="K258" s="456">
        <f t="shared" si="325"/>
        <v>15.25</v>
      </c>
      <c r="L258" s="456">
        <f t="shared" si="326"/>
        <v>39.25</v>
      </c>
      <c r="M258" s="456"/>
      <c r="N258" s="225">
        <f t="shared" si="327"/>
        <v>0.38853503184713378</v>
      </c>
      <c r="O258" s="180">
        <f t="shared" si="359"/>
        <v>3.9681251730822482</v>
      </c>
      <c r="P258" s="180">
        <f t="shared" si="360"/>
        <v>3.2450445859872605</v>
      </c>
      <c r="Q258" s="225">
        <f t="shared" si="330"/>
        <v>0.26454167820548319</v>
      </c>
      <c r="R258" s="225">
        <f t="shared" si="361"/>
        <v>0.49601564663528103</v>
      </c>
      <c r="S258" s="225">
        <f t="shared" si="362"/>
        <v>15</v>
      </c>
      <c r="T258" s="225">
        <f t="shared" si="363"/>
        <v>0.69062841530054642</v>
      </c>
      <c r="U258" s="225">
        <f t="shared" si="334"/>
        <v>1.1510473588342442</v>
      </c>
      <c r="V258" s="225">
        <f t="shared" si="335"/>
        <v>1.8114843680014334</v>
      </c>
      <c r="W258" s="205">
        <f t="shared" si="336"/>
        <v>350</v>
      </c>
      <c r="X258" s="456">
        <f t="shared" si="337"/>
        <v>337.54912764026807</v>
      </c>
      <c r="Z258" s="225">
        <f t="shared" si="338"/>
        <v>0.66606005459508633</v>
      </c>
      <c r="AA258" s="181">
        <f t="shared" si="339"/>
        <v>1.7470427661510461</v>
      </c>
      <c r="AB258" s="181">
        <f t="shared" si="364"/>
        <v>0.1328062141535481</v>
      </c>
      <c r="AC258" s="181"/>
      <c r="AD258" s="181">
        <f t="shared" si="341"/>
        <v>0.76065573770491812</v>
      </c>
      <c r="AE258" s="565">
        <f t="shared" si="365"/>
        <v>1142.3900118906065</v>
      </c>
      <c r="AF258" s="548">
        <f t="shared" si="366"/>
        <v>3.8603278688524589E-2</v>
      </c>
      <c r="AH258" s="181">
        <f t="shared" si="367"/>
        <v>0.64342831768581643</v>
      </c>
      <c r="AI258" s="181">
        <f t="shared" si="368"/>
        <v>0.64342831768581643</v>
      </c>
      <c r="AJ258" s="181">
        <f t="shared" si="369"/>
        <v>1.4617987538413455</v>
      </c>
      <c r="AL258" s="565">
        <f t="shared" si="370"/>
        <v>126</v>
      </c>
      <c r="AM258" s="474">
        <f t="shared" si="371"/>
        <v>337.54912764026807</v>
      </c>
      <c r="AO258">
        <f t="shared" si="349"/>
        <v>126</v>
      </c>
      <c r="AP258">
        <f t="shared" si="350"/>
        <v>337.54912764026807</v>
      </c>
      <c r="AR258" s="6">
        <f t="shared" si="314"/>
        <v>2.9625317268356781</v>
      </c>
      <c r="AS258" s="6">
        <f t="shared" si="353"/>
        <v>1.0723805294763609</v>
      </c>
      <c r="AT258" s="6">
        <f t="shared" si="354"/>
        <v>1.8901511973593172</v>
      </c>
      <c r="AU258" s="181">
        <f t="shared" si="355"/>
        <v>0.36198111222315438</v>
      </c>
      <c r="CB258" s="583">
        <f t="shared" si="372"/>
        <v>-50</v>
      </c>
    </row>
    <row r="259" spans="5:80" x14ac:dyDescent="0.2">
      <c r="E259" s="178">
        <v>43</v>
      </c>
      <c r="F259" s="225">
        <f t="shared" si="373"/>
        <v>0.129</v>
      </c>
      <c r="G259" s="225">
        <f t="shared" si="356"/>
        <v>0.129</v>
      </c>
      <c r="H259" s="225">
        <f t="shared" si="357"/>
        <v>1.9350000000000001</v>
      </c>
      <c r="I259" s="225">
        <f t="shared" si="358"/>
        <v>1.032</v>
      </c>
      <c r="J259" s="561">
        <f t="shared" si="324"/>
        <v>24</v>
      </c>
      <c r="K259" s="456">
        <f t="shared" si="325"/>
        <v>15.25</v>
      </c>
      <c r="L259" s="456">
        <f t="shared" si="326"/>
        <v>39.25</v>
      </c>
      <c r="M259" s="456"/>
      <c r="N259" s="225">
        <f t="shared" si="327"/>
        <v>0.38853503184713378</v>
      </c>
      <c r="O259" s="180">
        <f t="shared" si="359"/>
        <v>3.9681251730822482</v>
      </c>
      <c r="P259" s="180">
        <f t="shared" si="360"/>
        <v>3.2450445859872605</v>
      </c>
      <c r="Q259" s="225">
        <f t="shared" si="330"/>
        <v>0.26454167820548319</v>
      </c>
      <c r="R259" s="225">
        <f t="shared" si="361"/>
        <v>0.49601564663528103</v>
      </c>
      <c r="S259" s="225">
        <f t="shared" si="362"/>
        <v>15</v>
      </c>
      <c r="T259" s="225">
        <f t="shared" si="363"/>
        <v>0.70707194899817849</v>
      </c>
      <c r="U259" s="225">
        <f t="shared" si="334"/>
        <v>1.1784532483302976</v>
      </c>
      <c r="V259" s="225">
        <f t="shared" si="335"/>
        <v>1.8546149481919438</v>
      </c>
      <c r="W259" s="205">
        <f t="shared" si="336"/>
        <v>350</v>
      </c>
      <c r="X259" s="456">
        <f t="shared" si="337"/>
        <v>329.69914792770373</v>
      </c>
      <c r="Z259" s="225">
        <f t="shared" si="338"/>
        <v>0.66606005459508633</v>
      </c>
      <c r="AA259" s="181">
        <f t="shared" si="339"/>
        <v>1.7470427661510461</v>
      </c>
      <c r="AB259" s="181">
        <f t="shared" si="364"/>
        <v>0.1328062141535481</v>
      </c>
      <c r="AC259" s="181"/>
      <c r="AD259" s="181">
        <f t="shared" si="341"/>
        <v>0.76065573770491812</v>
      </c>
      <c r="AE259" s="565">
        <f t="shared" si="365"/>
        <v>1169.5897740784781</v>
      </c>
      <c r="AF259" s="548">
        <f t="shared" si="366"/>
        <v>3.8603278688524589E-2</v>
      </c>
      <c r="AH259" s="181">
        <f t="shared" si="367"/>
        <v>0.65104311904599899</v>
      </c>
      <c r="AI259" s="181">
        <f t="shared" si="368"/>
        <v>0.65104311904599899</v>
      </c>
      <c r="AJ259" s="181">
        <f t="shared" si="369"/>
        <v>1.4674393474414806</v>
      </c>
      <c r="AL259" s="565">
        <f t="shared" si="370"/>
        <v>129</v>
      </c>
      <c r="AM259" s="474">
        <f t="shared" si="371"/>
        <v>329.69914792770373</v>
      </c>
      <c r="AO259">
        <f t="shared" si="349"/>
        <v>129</v>
      </c>
      <c r="AP259">
        <f t="shared" si="350"/>
        <v>329.69914792770373</v>
      </c>
      <c r="AR259" s="6">
        <f t="shared" si="314"/>
        <v>3.0330681965222412</v>
      </c>
      <c r="AS259" s="6">
        <f t="shared" si="353"/>
        <v>1.0850718650766651</v>
      </c>
      <c r="AT259" s="6">
        <f t="shared" si="354"/>
        <v>1.9479963314455762</v>
      </c>
      <c r="AU259" s="181">
        <f t="shared" si="355"/>
        <v>0.35774726935610079</v>
      </c>
      <c r="CB259" s="583">
        <f t="shared" si="372"/>
        <v>-50</v>
      </c>
    </row>
    <row r="260" spans="5:80" x14ac:dyDescent="0.2">
      <c r="E260" s="178">
        <v>44</v>
      </c>
      <c r="F260" s="225">
        <f t="shared" si="373"/>
        <v>0.13200000000000001</v>
      </c>
      <c r="G260" s="225">
        <f t="shared" si="356"/>
        <v>0.13200000000000001</v>
      </c>
      <c r="H260" s="225">
        <f t="shared" si="357"/>
        <v>1.98</v>
      </c>
      <c r="I260" s="225">
        <f t="shared" si="358"/>
        <v>1.056</v>
      </c>
      <c r="J260" s="561">
        <f t="shared" si="324"/>
        <v>24</v>
      </c>
      <c r="K260" s="456">
        <f t="shared" si="325"/>
        <v>15.25</v>
      </c>
      <c r="L260" s="456">
        <f t="shared" si="326"/>
        <v>39.25</v>
      </c>
      <c r="M260" s="456"/>
      <c r="N260" s="225">
        <f t="shared" si="327"/>
        <v>0.38853503184713378</v>
      </c>
      <c r="O260" s="180">
        <f t="shared" si="359"/>
        <v>3.9681251730822482</v>
      </c>
      <c r="P260" s="180">
        <f t="shared" si="360"/>
        <v>3.2450445859872605</v>
      </c>
      <c r="Q260" s="225">
        <f t="shared" si="330"/>
        <v>0.26454167820548319</v>
      </c>
      <c r="R260" s="225">
        <f t="shared" si="361"/>
        <v>0.49601564663528103</v>
      </c>
      <c r="S260" s="225">
        <f t="shared" si="362"/>
        <v>15</v>
      </c>
      <c r="T260" s="225">
        <f t="shared" si="363"/>
        <v>0.72351548269581045</v>
      </c>
      <c r="U260" s="225">
        <f t="shared" si="334"/>
        <v>1.2058591378263508</v>
      </c>
      <c r="V260" s="225">
        <f t="shared" si="335"/>
        <v>1.8977455283824538</v>
      </c>
      <c r="W260" s="205">
        <f t="shared" si="336"/>
        <v>350</v>
      </c>
      <c r="X260" s="456">
        <f t="shared" si="337"/>
        <v>322.20598547480142</v>
      </c>
      <c r="Z260" s="225">
        <f t="shared" si="338"/>
        <v>0.66606005459508633</v>
      </c>
      <c r="AA260" s="181">
        <f t="shared" si="339"/>
        <v>1.7470427661510461</v>
      </c>
      <c r="AB260" s="181">
        <f t="shared" si="364"/>
        <v>0.1328062141535481</v>
      </c>
      <c r="AC260" s="181"/>
      <c r="AD260" s="181">
        <f t="shared" si="341"/>
        <v>0.76065573770491812</v>
      </c>
      <c r="AE260" s="565">
        <f t="shared" si="365"/>
        <v>1196.7895362663496</v>
      </c>
      <c r="AF260" s="548">
        <f t="shared" si="366"/>
        <v>3.8603278688524589E-2</v>
      </c>
      <c r="AH260" s="181">
        <f t="shared" si="367"/>
        <v>0.65856987914289378</v>
      </c>
      <c r="AI260" s="181">
        <f t="shared" si="368"/>
        <v>0.65856987914289378</v>
      </c>
      <c r="AJ260" s="181">
        <f t="shared" si="369"/>
        <v>1.4730147252910324</v>
      </c>
      <c r="AL260" s="565">
        <f t="shared" si="370"/>
        <v>132</v>
      </c>
      <c r="AM260" s="474">
        <f t="shared" si="371"/>
        <v>322.20598547480142</v>
      </c>
      <c r="AO260">
        <f t="shared" si="349"/>
        <v>132</v>
      </c>
      <c r="AP260">
        <f t="shared" si="350"/>
        <v>322.20598547480142</v>
      </c>
      <c r="AR260" s="6">
        <f t="shared" si="314"/>
        <v>3.1036046662088044</v>
      </c>
      <c r="AS260" s="6">
        <f t="shared" si="353"/>
        <v>1.0976164652381564</v>
      </c>
      <c r="AT260" s="6">
        <f t="shared" si="354"/>
        <v>2.005988200970648</v>
      </c>
      <c r="AU260" s="181">
        <f t="shared" si="355"/>
        <v>0.35365859485542833</v>
      </c>
      <c r="CB260" s="583">
        <f t="shared" si="372"/>
        <v>-50</v>
      </c>
    </row>
    <row r="261" spans="5:80" x14ac:dyDescent="0.2">
      <c r="E261" s="178">
        <v>45</v>
      </c>
      <c r="F261" s="225">
        <f t="shared" si="373"/>
        <v>0.13500000000000001</v>
      </c>
      <c r="G261" s="225">
        <f t="shared" si="356"/>
        <v>0.13500000000000001</v>
      </c>
      <c r="H261" s="225">
        <f t="shared" si="357"/>
        <v>2.0250000000000004</v>
      </c>
      <c r="I261" s="225">
        <f t="shared" si="358"/>
        <v>1.08</v>
      </c>
      <c r="J261" s="561">
        <f t="shared" si="324"/>
        <v>24</v>
      </c>
      <c r="K261" s="456">
        <f t="shared" si="325"/>
        <v>15.25</v>
      </c>
      <c r="L261" s="456">
        <f t="shared" si="326"/>
        <v>39.25</v>
      </c>
      <c r="M261" s="456"/>
      <c r="N261" s="225">
        <f t="shared" si="327"/>
        <v>0.38853503184713378</v>
      </c>
      <c r="O261" s="180">
        <f t="shared" si="359"/>
        <v>3.9681251730822482</v>
      </c>
      <c r="P261" s="180">
        <f t="shared" si="360"/>
        <v>3.2450445859872605</v>
      </c>
      <c r="Q261" s="225">
        <f t="shared" si="330"/>
        <v>0.26454167820548319</v>
      </c>
      <c r="R261" s="225">
        <f t="shared" si="361"/>
        <v>0.49601564663528103</v>
      </c>
      <c r="S261" s="225">
        <f t="shared" si="362"/>
        <v>15</v>
      </c>
      <c r="T261" s="225">
        <f t="shared" si="363"/>
        <v>0.73995901639344264</v>
      </c>
      <c r="U261" s="225">
        <f t="shared" si="334"/>
        <v>1.2332650273224044</v>
      </c>
      <c r="V261" s="225">
        <f t="shared" si="335"/>
        <v>1.9408761085729644</v>
      </c>
      <c r="W261" s="205">
        <f t="shared" si="336"/>
        <v>350</v>
      </c>
      <c r="X261" s="456">
        <f t="shared" si="337"/>
        <v>315.04585246425023</v>
      </c>
      <c r="Z261" s="225">
        <f t="shared" si="338"/>
        <v>0.66606005459508633</v>
      </c>
      <c r="AA261" s="181">
        <f t="shared" si="339"/>
        <v>1.7470427661510461</v>
      </c>
      <c r="AB261" s="181">
        <f t="shared" si="364"/>
        <v>0.1328062141535481</v>
      </c>
      <c r="AC261" s="181"/>
      <c r="AD261" s="181">
        <f t="shared" si="341"/>
        <v>0.76065573770491812</v>
      </c>
      <c r="AE261" s="565">
        <f t="shared" si="365"/>
        <v>1223.9892984542212</v>
      </c>
      <c r="AF261" s="548">
        <f t="shared" si="366"/>
        <v>3.8603278688524589E-2</v>
      </c>
      <c r="AH261" s="181">
        <f t="shared" si="367"/>
        <v>0.66601158291085938</v>
      </c>
      <c r="AI261" s="181">
        <f t="shared" si="368"/>
        <v>0.73995901639344264</v>
      </c>
      <c r="AJ261" s="181">
        <f t="shared" si="369"/>
        <v>1.5333029751062539</v>
      </c>
      <c r="AL261" s="565">
        <f t="shared" si="370"/>
        <v>135</v>
      </c>
      <c r="AM261" s="474">
        <f t="shared" si="371"/>
        <v>315.04585246425023</v>
      </c>
      <c r="AO261">
        <f t="shared" si="349"/>
        <v>135</v>
      </c>
      <c r="AP261">
        <f t="shared" si="350"/>
        <v>315.04585246425023</v>
      </c>
      <c r="AR261" s="6">
        <f t="shared" si="314"/>
        <v>3.1741411358953688</v>
      </c>
      <c r="AS261" s="6">
        <f t="shared" si="353"/>
        <v>1.2332650273224044</v>
      </c>
      <c r="AT261" s="6">
        <f t="shared" si="354"/>
        <v>1.9408761085729644</v>
      </c>
      <c r="AU261" s="181">
        <f t="shared" si="355"/>
        <v>0.38853503184713373</v>
      </c>
      <c r="CB261" s="583">
        <f t="shared" si="372"/>
        <v>-50</v>
      </c>
    </row>
    <row r="262" spans="5:80" x14ac:dyDescent="0.2">
      <c r="E262" s="178">
        <v>46</v>
      </c>
      <c r="F262" s="225">
        <f t="shared" si="373"/>
        <v>0.13800000000000001</v>
      </c>
      <c r="G262" s="225">
        <f t="shared" si="356"/>
        <v>0.13800000000000001</v>
      </c>
      <c r="H262" s="225">
        <f t="shared" si="357"/>
        <v>2.0700000000000003</v>
      </c>
      <c r="I262" s="225">
        <f t="shared" si="358"/>
        <v>1.1040000000000001</v>
      </c>
      <c r="J262" s="561">
        <f t="shared" si="324"/>
        <v>24</v>
      </c>
      <c r="K262" s="456">
        <f t="shared" si="325"/>
        <v>15.25</v>
      </c>
      <c r="L262" s="456">
        <f t="shared" si="326"/>
        <v>39.25</v>
      </c>
      <c r="M262" s="456"/>
      <c r="N262" s="225">
        <f t="shared" si="327"/>
        <v>0.38853503184713378</v>
      </c>
      <c r="O262" s="180">
        <f t="shared" si="359"/>
        <v>3.9681251730822482</v>
      </c>
      <c r="P262" s="180">
        <f t="shared" si="360"/>
        <v>3.2450445859872605</v>
      </c>
      <c r="Q262" s="225">
        <f t="shared" si="330"/>
        <v>0.26454167820548319</v>
      </c>
      <c r="R262" s="225">
        <f t="shared" si="361"/>
        <v>0.49601564663528103</v>
      </c>
      <c r="S262" s="225">
        <f t="shared" si="362"/>
        <v>15</v>
      </c>
      <c r="T262" s="225">
        <f t="shared" si="363"/>
        <v>0.75640255009107471</v>
      </c>
      <c r="U262" s="225">
        <f t="shared" si="334"/>
        <v>1.260670916818458</v>
      </c>
      <c r="V262" s="225">
        <f t="shared" si="335"/>
        <v>1.9840066887634749</v>
      </c>
      <c r="W262" s="205">
        <f t="shared" si="336"/>
        <v>350</v>
      </c>
      <c r="X262" s="456">
        <f t="shared" si="337"/>
        <v>308.1970295845926</v>
      </c>
      <c r="Z262" s="225">
        <f t="shared" si="338"/>
        <v>0.66606005459508633</v>
      </c>
      <c r="AA262" s="181">
        <f t="shared" si="339"/>
        <v>1.7470427661510461</v>
      </c>
      <c r="AB262" s="181">
        <f t="shared" si="364"/>
        <v>0.1328062141535481</v>
      </c>
      <c r="AC262" s="181"/>
      <c r="AD262" s="181">
        <f t="shared" si="341"/>
        <v>0.76065573770491812</v>
      </c>
      <c r="AE262" s="565">
        <f t="shared" si="365"/>
        <v>1251.1890606420927</v>
      </c>
      <c r="AF262" s="548">
        <f t="shared" si="366"/>
        <v>3.8603278688524589E-2</v>
      </c>
      <c r="AH262" s="181">
        <f t="shared" si="367"/>
        <v>0.67337105033448785</v>
      </c>
      <c r="AI262" s="181">
        <f t="shared" si="368"/>
        <v>0.75640255009107471</v>
      </c>
      <c r="AJ262" s="181">
        <f t="shared" si="369"/>
        <v>1.545483370437833</v>
      </c>
      <c r="AL262" s="565">
        <f t="shared" si="370"/>
        <v>138</v>
      </c>
      <c r="AM262" s="474">
        <f t="shared" si="371"/>
        <v>308.1970295845926</v>
      </c>
      <c r="AO262">
        <f t="shared" si="349"/>
        <v>138</v>
      </c>
      <c r="AP262">
        <f t="shared" si="350"/>
        <v>308.1970295845926</v>
      </c>
      <c r="AR262" s="6">
        <f t="shared" si="314"/>
        <v>3.2446776055819329</v>
      </c>
      <c r="AS262" s="6">
        <f t="shared" si="353"/>
        <v>1.260670916818458</v>
      </c>
      <c r="AT262" s="6">
        <f t="shared" si="354"/>
        <v>1.9840066887634749</v>
      </c>
      <c r="AU262" s="181">
        <f t="shared" si="355"/>
        <v>0.38853503184713378</v>
      </c>
      <c r="CB262" s="583">
        <f t="shared" si="372"/>
        <v>-50</v>
      </c>
    </row>
    <row r="263" spans="5:80" x14ac:dyDescent="0.2">
      <c r="E263" s="178">
        <v>47</v>
      </c>
      <c r="F263" s="225">
        <f t="shared" si="373"/>
        <v>0.14099999999999999</v>
      </c>
      <c r="G263" s="225">
        <f t="shared" si="356"/>
        <v>0.14099999999999999</v>
      </c>
      <c r="H263" s="225">
        <f t="shared" si="357"/>
        <v>2.1149999999999998</v>
      </c>
      <c r="I263" s="225">
        <f t="shared" si="358"/>
        <v>1.1279999999999999</v>
      </c>
      <c r="J263" s="561">
        <f t="shared" si="324"/>
        <v>24</v>
      </c>
      <c r="K263" s="456">
        <f t="shared" si="325"/>
        <v>15.25</v>
      </c>
      <c r="L263" s="456">
        <f t="shared" si="326"/>
        <v>39.25</v>
      </c>
      <c r="M263" s="456"/>
      <c r="N263" s="225">
        <f t="shared" si="327"/>
        <v>0.38853503184713378</v>
      </c>
      <c r="O263" s="180">
        <f t="shared" si="359"/>
        <v>3.9681251730822482</v>
      </c>
      <c r="P263" s="180">
        <f t="shared" si="360"/>
        <v>3.2450445859872605</v>
      </c>
      <c r="Q263" s="225">
        <f t="shared" si="330"/>
        <v>0.26454167820548319</v>
      </c>
      <c r="R263" s="225">
        <f t="shared" si="361"/>
        <v>0.49601564663528103</v>
      </c>
      <c r="S263" s="225">
        <f t="shared" si="362"/>
        <v>15</v>
      </c>
      <c r="T263" s="225">
        <f t="shared" si="363"/>
        <v>0.77284608378870656</v>
      </c>
      <c r="U263" s="225">
        <f t="shared" si="334"/>
        <v>1.2880768063145112</v>
      </c>
      <c r="V263" s="225">
        <f t="shared" si="335"/>
        <v>2.0271372689539846</v>
      </c>
      <c r="W263" s="205">
        <f t="shared" si="336"/>
        <v>350</v>
      </c>
      <c r="X263" s="456">
        <f t="shared" si="337"/>
        <v>301.63964597640984</v>
      </c>
      <c r="Z263" s="225">
        <f t="shared" si="338"/>
        <v>0.66606005459508633</v>
      </c>
      <c r="AA263" s="181">
        <f t="shared" si="339"/>
        <v>1.7470427661510461</v>
      </c>
      <c r="AB263" s="181">
        <f t="shared" si="364"/>
        <v>0.1328062141535481</v>
      </c>
      <c r="AC263" s="181"/>
      <c r="AD263" s="181">
        <f t="shared" si="341"/>
        <v>0.76065573770491812</v>
      </c>
      <c r="AE263" s="565">
        <f t="shared" si="365"/>
        <v>1278.3888228299641</v>
      </c>
      <c r="AF263" s="548">
        <f t="shared" si="366"/>
        <v>3.8603278688524589E-2</v>
      </c>
      <c r="AH263" s="181">
        <f t="shared" si="367"/>
        <v>0.68065094893470479</v>
      </c>
      <c r="AI263" s="181">
        <f t="shared" si="368"/>
        <v>0.77284608378870656</v>
      </c>
      <c r="AJ263" s="181">
        <f t="shared" si="369"/>
        <v>1.5576637657694121</v>
      </c>
      <c r="AL263" s="565">
        <f t="shared" si="370"/>
        <v>141</v>
      </c>
      <c r="AM263" s="474">
        <f t="shared" si="371"/>
        <v>301.63964597640984</v>
      </c>
      <c r="AO263">
        <f t="shared" si="349"/>
        <v>141</v>
      </c>
      <c r="AP263">
        <f t="shared" si="350"/>
        <v>301.63964597640984</v>
      </c>
      <c r="AR263" s="6">
        <f t="shared" ref="AR263:AR316" si="374">1/AM263*1000</f>
        <v>3.315214075268496</v>
      </c>
      <c r="AS263" s="6">
        <f t="shared" si="353"/>
        <v>1.2880768063145112</v>
      </c>
      <c r="AT263" s="6">
        <f t="shared" si="354"/>
        <v>2.027137268953985</v>
      </c>
      <c r="AU263" s="181">
        <f t="shared" si="355"/>
        <v>0.38853503184713373</v>
      </c>
      <c r="CB263" s="583">
        <f t="shared" si="372"/>
        <v>-50</v>
      </c>
    </row>
    <row r="264" spans="5:80" x14ac:dyDescent="0.2">
      <c r="E264" s="178">
        <v>48</v>
      </c>
      <c r="F264" s="225">
        <f t="shared" si="373"/>
        <v>0.14399999999999999</v>
      </c>
      <c r="G264" s="225">
        <f t="shared" si="356"/>
        <v>0.14399999999999999</v>
      </c>
      <c r="H264" s="225">
        <f t="shared" si="357"/>
        <v>2.1599999999999997</v>
      </c>
      <c r="I264" s="225">
        <f t="shared" si="358"/>
        <v>1.1519999999999999</v>
      </c>
      <c r="J264" s="561">
        <f t="shared" si="324"/>
        <v>24</v>
      </c>
      <c r="K264" s="456">
        <f t="shared" si="325"/>
        <v>15.25</v>
      </c>
      <c r="L264" s="456">
        <f t="shared" si="326"/>
        <v>39.25</v>
      </c>
      <c r="M264" s="456"/>
      <c r="N264" s="225">
        <f t="shared" si="327"/>
        <v>0.38853503184713378</v>
      </c>
      <c r="O264" s="180">
        <f t="shared" si="359"/>
        <v>3.9681251730822482</v>
      </c>
      <c r="P264" s="180">
        <f t="shared" si="360"/>
        <v>3.2450445859872605</v>
      </c>
      <c r="Q264" s="225">
        <f t="shared" si="330"/>
        <v>0.26454167820548319</v>
      </c>
      <c r="R264" s="225">
        <f t="shared" si="361"/>
        <v>0.49601564663528103</v>
      </c>
      <c r="S264" s="225">
        <f t="shared" si="362"/>
        <v>15</v>
      </c>
      <c r="T264" s="225">
        <f t="shared" si="363"/>
        <v>0.78928961748633852</v>
      </c>
      <c r="U264" s="225">
        <f t="shared" si="334"/>
        <v>1.3154826958105641</v>
      </c>
      <c r="V264" s="225">
        <f t="shared" si="335"/>
        <v>2.0702678491444946</v>
      </c>
      <c r="W264" s="205">
        <f t="shared" si="336"/>
        <v>350</v>
      </c>
      <c r="X264" s="456">
        <f t="shared" si="337"/>
        <v>295.35548668523472</v>
      </c>
      <c r="Z264" s="225">
        <f t="shared" si="338"/>
        <v>0.66606005459508633</v>
      </c>
      <c r="AA264" s="181">
        <f t="shared" si="339"/>
        <v>1.7470427661510461</v>
      </c>
      <c r="AB264" s="181">
        <f t="shared" si="364"/>
        <v>0.1328062141535481</v>
      </c>
      <c r="AC264" s="181"/>
      <c r="AD264" s="181">
        <f t="shared" si="341"/>
        <v>0.76065573770491812</v>
      </c>
      <c r="AE264" s="565">
        <f t="shared" si="365"/>
        <v>1305.5885850178356</v>
      </c>
      <c r="AF264" s="548">
        <f t="shared" si="366"/>
        <v>3.8603278688524589E-2</v>
      </c>
      <c r="AH264" s="181">
        <f t="shared" si="367"/>
        <v>0.68785380506533289</v>
      </c>
      <c r="AI264" s="181">
        <f t="shared" si="368"/>
        <v>0.78928961748633852</v>
      </c>
      <c r="AJ264" s="181">
        <f t="shared" si="369"/>
        <v>1.5698441611009915</v>
      </c>
      <c r="AL264" s="565">
        <f t="shared" si="370"/>
        <v>144</v>
      </c>
      <c r="AM264" s="474">
        <f t="shared" si="371"/>
        <v>295.35548668523472</v>
      </c>
      <c r="AO264">
        <f t="shared" si="349"/>
        <v>144</v>
      </c>
      <c r="AP264">
        <f t="shared" si="350"/>
        <v>295.35548668523472</v>
      </c>
      <c r="AR264" s="6">
        <f t="shared" si="374"/>
        <v>3.3857505449550582</v>
      </c>
      <c r="AS264" s="6">
        <f t="shared" si="353"/>
        <v>1.3154826958105641</v>
      </c>
      <c r="AT264" s="6">
        <f t="shared" si="354"/>
        <v>2.0702678491444941</v>
      </c>
      <c r="AU264" s="181">
        <f t="shared" si="355"/>
        <v>0.38853503184713378</v>
      </c>
      <c r="CB264" s="583">
        <f t="shared" si="372"/>
        <v>-50</v>
      </c>
    </row>
    <row r="265" spans="5:80" x14ac:dyDescent="0.2">
      <c r="E265" s="178">
        <v>49</v>
      </c>
      <c r="F265" s="225">
        <f t="shared" si="373"/>
        <v>0.14699999999999999</v>
      </c>
      <c r="G265" s="225">
        <f t="shared" si="356"/>
        <v>0.14699999999999999</v>
      </c>
      <c r="H265" s="225">
        <f t="shared" si="357"/>
        <v>2.2050000000000001</v>
      </c>
      <c r="I265" s="225">
        <f t="shared" si="358"/>
        <v>1.1759999999999999</v>
      </c>
      <c r="J265" s="561">
        <f t="shared" si="324"/>
        <v>24</v>
      </c>
      <c r="K265" s="456">
        <f t="shared" si="325"/>
        <v>15.25</v>
      </c>
      <c r="L265" s="456">
        <f t="shared" si="326"/>
        <v>39.25</v>
      </c>
      <c r="M265" s="456"/>
      <c r="N265" s="225">
        <f t="shared" si="327"/>
        <v>0.38853503184713378</v>
      </c>
      <c r="O265" s="180">
        <f t="shared" si="359"/>
        <v>3.9681251730822482</v>
      </c>
      <c r="P265" s="180">
        <f t="shared" si="360"/>
        <v>3.2450445859872605</v>
      </c>
      <c r="Q265" s="225">
        <f t="shared" si="330"/>
        <v>0.26454167820548319</v>
      </c>
      <c r="R265" s="225">
        <f t="shared" si="361"/>
        <v>0.49601564663528103</v>
      </c>
      <c r="S265" s="225">
        <f t="shared" si="362"/>
        <v>15</v>
      </c>
      <c r="T265" s="225">
        <f t="shared" si="363"/>
        <v>0.80573315118397082</v>
      </c>
      <c r="U265" s="225">
        <f t="shared" si="334"/>
        <v>1.3428885853066181</v>
      </c>
      <c r="V265" s="225">
        <f t="shared" si="335"/>
        <v>2.1133984293350059</v>
      </c>
      <c r="W265" s="205">
        <f t="shared" si="336"/>
        <v>350</v>
      </c>
      <c r="X265" s="456">
        <f t="shared" si="337"/>
        <v>289.32782369165841</v>
      </c>
      <c r="Z265" s="225">
        <f t="shared" si="338"/>
        <v>0.66606005459508633</v>
      </c>
      <c r="AA265" s="181">
        <f t="shared" si="339"/>
        <v>1.7470427661510461</v>
      </c>
      <c r="AB265" s="181">
        <f t="shared" si="364"/>
        <v>0.1328062141535481</v>
      </c>
      <c r="AC265" s="181"/>
      <c r="AD265" s="181">
        <f t="shared" si="341"/>
        <v>0.76065573770491812</v>
      </c>
      <c r="AE265" s="565">
        <f t="shared" si="365"/>
        <v>1332.7883472057074</v>
      </c>
      <c r="AF265" s="548">
        <f t="shared" si="366"/>
        <v>3.8603278688524589E-2</v>
      </c>
      <c r="AH265" s="181">
        <f t="shared" si="367"/>
        <v>0.69498201415576211</v>
      </c>
      <c r="AI265" s="181">
        <f t="shared" si="368"/>
        <v>0.80573315118397082</v>
      </c>
      <c r="AJ265" s="181">
        <f t="shared" si="369"/>
        <v>1.582024556432571</v>
      </c>
      <c r="AL265" s="565">
        <f t="shared" si="370"/>
        <v>147</v>
      </c>
      <c r="AM265" s="474">
        <f t="shared" si="371"/>
        <v>289.32782369165841</v>
      </c>
      <c r="AO265">
        <f t="shared" si="349"/>
        <v>147</v>
      </c>
      <c r="AP265">
        <f t="shared" si="350"/>
        <v>289.32782369165841</v>
      </c>
      <c r="AR265" s="6">
        <f t="shared" si="374"/>
        <v>3.4562870146416236</v>
      </c>
      <c r="AS265" s="6">
        <f t="shared" si="353"/>
        <v>1.3428885853066181</v>
      </c>
      <c r="AT265" s="6">
        <f t="shared" si="354"/>
        <v>2.1133984293350054</v>
      </c>
      <c r="AU265" s="181">
        <f t="shared" si="355"/>
        <v>0.38853503184713378</v>
      </c>
      <c r="CB265" s="583">
        <f t="shared" si="372"/>
        <v>-50</v>
      </c>
    </row>
    <row r="266" spans="5:80" x14ac:dyDescent="0.2">
      <c r="E266" s="178">
        <v>50</v>
      </c>
      <c r="F266" s="225">
        <f t="shared" si="373"/>
        <v>0.15</v>
      </c>
      <c r="G266" s="225">
        <f t="shared" si="356"/>
        <v>0.15</v>
      </c>
      <c r="H266" s="225">
        <f t="shared" si="357"/>
        <v>2.25</v>
      </c>
      <c r="I266" s="225">
        <f t="shared" si="358"/>
        <v>1.2</v>
      </c>
      <c r="J266" s="561">
        <f t="shared" si="324"/>
        <v>24</v>
      </c>
      <c r="K266" s="456">
        <f t="shared" si="325"/>
        <v>15.25</v>
      </c>
      <c r="L266" s="456">
        <f t="shared" si="326"/>
        <v>39.25</v>
      </c>
      <c r="M266" s="456"/>
      <c r="N266" s="225">
        <f t="shared" si="327"/>
        <v>0.38853503184713378</v>
      </c>
      <c r="O266" s="180">
        <f t="shared" si="359"/>
        <v>3.9681251730822482</v>
      </c>
      <c r="P266" s="180">
        <f t="shared" si="360"/>
        <v>3.2450445859872605</v>
      </c>
      <c r="Q266" s="225">
        <f t="shared" si="330"/>
        <v>0.26454167820548319</v>
      </c>
      <c r="R266" s="225">
        <f t="shared" si="361"/>
        <v>0.49601564663528103</v>
      </c>
      <c r="S266" s="225">
        <f t="shared" si="362"/>
        <v>15</v>
      </c>
      <c r="T266" s="225">
        <f t="shared" si="363"/>
        <v>0.82217668488160289</v>
      </c>
      <c r="U266" s="225">
        <f t="shared" si="334"/>
        <v>1.3702944748026715</v>
      </c>
      <c r="V266" s="225">
        <f t="shared" si="335"/>
        <v>2.1565290095255158</v>
      </c>
      <c r="W266" s="205">
        <f t="shared" si="336"/>
        <v>350</v>
      </c>
      <c r="X266" s="456">
        <f t="shared" si="337"/>
        <v>283.54126721782518</v>
      </c>
      <c r="Z266" s="225">
        <f t="shared" si="338"/>
        <v>0.66606005459508633</v>
      </c>
      <c r="AA266" s="181">
        <f t="shared" si="339"/>
        <v>1.7470427661510461</v>
      </c>
      <c r="AB266" s="181">
        <f t="shared" si="364"/>
        <v>0.1328062141535481</v>
      </c>
      <c r="AC266" s="181"/>
      <c r="AD266" s="181">
        <f t="shared" si="341"/>
        <v>0.76065573770491812</v>
      </c>
      <c r="AE266" s="565">
        <f t="shared" si="365"/>
        <v>1359.988109393579</v>
      </c>
      <c r="AF266" s="548">
        <f t="shared" si="366"/>
        <v>3.8603278688524589E-2</v>
      </c>
      <c r="AH266" s="181">
        <f t="shared" si="367"/>
        <v>0.70203785001746366</v>
      </c>
      <c r="AI266" s="181">
        <f t="shared" si="368"/>
        <v>0.82217668488160289</v>
      </c>
      <c r="AJ266" s="181">
        <f t="shared" si="369"/>
        <v>1.5942049517641503</v>
      </c>
      <c r="AL266" s="565">
        <f t="shared" si="370"/>
        <v>150</v>
      </c>
      <c r="AM266" s="474">
        <f t="shared" si="371"/>
        <v>283.54126721782518</v>
      </c>
      <c r="AO266">
        <f t="shared" si="349"/>
        <v>150</v>
      </c>
      <c r="AP266">
        <f t="shared" si="350"/>
        <v>283.54126721782518</v>
      </c>
      <c r="AR266" s="6">
        <f t="shared" si="374"/>
        <v>3.526823484328188</v>
      </c>
      <c r="AS266" s="6">
        <f t="shared" si="353"/>
        <v>1.3702944748026715</v>
      </c>
      <c r="AT266" s="6">
        <f t="shared" si="354"/>
        <v>2.1565290095255163</v>
      </c>
      <c r="AU266" s="181">
        <f t="shared" si="355"/>
        <v>0.38853503184713367</v>
      </c>
      <c r="CB266" s="583">
        <f t="shared" si="372"/>
        <v>-50</v>
      </c>
    </row>
    <row r="267" spans="5:80" x14ac:dyDescent="0.2">
      <c r="E267" s="178">
        <v>51</v>
      </c>
      <c r="F267" s="225">
        <f t="shared" si="373"/>
        <v>0.153</v>
      </c>
      <c r="G267" s="225">
        <f t="shared" si="356"/>
        <v>0.153</v>
      </c>
      <c r="H267" s="225">
        <f t="shared" si="357"/>
        <v>2.2949999999999999</v>
      </c>
      <c r="I267" s="225">
        <f t="shared" si="358"/>
        <v>1.224</v>
      </c>
      <c r="J267" s="561">
        <f t="shared" si="324"/>
        <v>24</v>
      </c>
      <c r="K267" s="456">
        <f t="shared" si="325"/>
        <v>15.25</v>
      </c>
      <c r="L267" s="456">
        <f t="shared" si="326"/>
        <v>39.25</v>
      </c>
      <c r="M267" s="456"/>
      <c r="N267" s="225">
        <f t="shared" si="327"/>
        <v>0.38853503184713378</v>
      </c>
      <c r="O267" s="180">
        <f t="shared" si="359"/>
        <v>3.9681251730822482</v>
      </c>
      <c r="P267" s="180">
        <f t="shared" si="360"/>
        <v>3.2450445859872605</v>
      </c>
      <c r="Q267" s="225">
        <f t="shared" si="330"/>
        <v>0.26454167820548319</v>
      </c>
      <c r="R267" s="225">
        <f t="shared" si="361"/>
        <v>0.49601564663528103</v>
      </c>
      <c r="S267" s="225">
        <f t="shared" si="362"/>
        <v>15</v>
      </c>
      <c r="T267" s="225">
        <f t="shared" si="363"/>
        <v>0.83862021857923497</v>
      </c>
      <c r="U267" s="225">
        <f t="shared" si="334"/>
        <v>1.3977003642987251</v>
      </c>
      <c r="V267" s="225">
        <f t="shared" si="335"/>
        <v>2.1996595897160263</v>
      </c>
      <c r="W267" s="205">
        <f t="shared" si="336"/>
        <v>350</v>
      </c>
      <c r="X267" s="456">
        <f t="shared" si="337"/>
        <v>277.9816345272796</v>
      </c>
      <c r="Z267" s="225">
        <f t="shared" si="338"/>
        <v>0.66606005459508633</v>
      </c>
      <c r="AA267" s="181">
        <f t="shared" si="339"/>
        <v>1.7470427661510461</v>
      </c>
      <c r="AB267" s="181">
        <f t="shared" si="364"/>
        <v>0.1328062141535481</v>
      </c>
      <c r="AC267" s="181"/>
      <c r="AD267" s="181">
        <f t="shared" si="341"/>
        <v>0.76065573770491812</v>
      </c>
      <c r="AE267" s="565">
        <f t="shared" si="365"/>
        <v>1387.1878715814505</v>
      </c>
      <c r="AF267" s="548">
        <f t="shared" si="366"/>
        <v>3.8603278688524589E-2</v>
      </c>
      <c r="AH267" s="181">
        <f t="shared" si="367"/>
        <v>0.70902347331684701</v>
      </c>
      <c r="AI267" s="181">
        <f t="shared" si="368"/>
        <v>0.83862021857923497</v>
      </c>
      <c r="AJ267" s="181">
        <f t="shared" si="369"/>
        <v>1.6063853470957297</v>
      </c>
      <c r="AL267" s="565">
        <f t="shared" si="370"/>
        <v>153</v>
      </c>
      <c r="AM267" s="474">
        <f t="shared" si="371"/>
        <v>277.9816345272796</v>
      </c>
      <c r="AO267">
        <f t="shared" si="349"/>
        <v>153</v>
      </c>
      <c r="AP267">
        <f t="shared" si="350"/>
        <v>277.9816345272796</v>
      </c>
      <c r="AR267" s="6">
        <f t="shared" si="374"/>
        <v>3.5973599540147512</v>
      </c>
      <c r="AS267" s="6">
        <f t="shared" si="353"/>
        <v>1.3977003642987251</v>
      </c>
      <c r="AT267" s="6">
        <f t="shared" si="354"/>
        <v>2.1996595897160258</v>
      </c>
      <c r="AU267" s="181">
        <f t="shared" si="355"/>
        <v>0.38853503184713378</v>
      </c>
      <c r="CB267" s="583">
        <f t="shared" si="372"/>
        <v>-50</v>
      </c>
    </row>
    <row r="268" spans="5:80" x14ac:dyDescent="0.2">
      <c r="E268" s="178">
        <v>52</v>
      </c>
      <c r="F268" s="225">
        <f t="shared" si="373"/>
        <v>0.156</v>
      </c>
      <c r="G268" s="225">
        <f t="shared" si="356"/>
        <v>0.156</v>
      </c>
      <c r="H268" s="225">
        <f t="shared" si="357"/>
        <v>2.34</v>
      </c>
      <c r="I268" s="225">
        <f t="shared" si="358"/>
        <v>1.248</v>
      </c>
      <c r="J268" s="561">
        <f t="shared" si="324"/>
        <v>24</v>
      </c>
      <c r="K268" s="456">
        <f t="shared" si="325"/>
        <v>15.25</v>
      </c>
      <c r="L268" s="456">
        <f t="shared" si="326"/>
        <v>39.25</v>
      </c>
      <c r="M268" s="456"/>
      <c r="N268" s="225">
        <f t="shared" si="327"/>
        <v>0.38853503184713378</v>
      </c>
      <c r="O268" s="180">
        <f t="shared" si="359"/>
        <v>3.9681251730822482</v>
      </c>
      <c r="P268" s="180">
        <f t="shared" si="360"/>
        <v>3.2450445859872605</v>
      </c>
      <c r="Q268" s="225">
        <f t="shared" si="330"/>
        <v>0.26454167820548319</v>
      </c>
      <c r="R268" s="225">
        <f t="shared" si="361"/>
        <v>0.49601564663528103</v>
      </c>
      <c r="S268" s="225">
        <f t="shared" si="362"/>
        <v>15</v>
      </c>
      <c r="T268" s="225">
        <f t="shared" si="363"/>
        <v>0.85506375227686693</v>
      </c>
      <c r="U268" s="225">
        <f t="shared" si="334"/>
        <v>1.4251062537947783</v>
      </c>
      <c r="V268" s="225">
        <f t="shared" si="335"/>
        <v>2.2427901699065362</v>
      </c>
      <c r="W268" s="205">
        <f t="shared" si="336"/>
        <v>350</v>
      </c>
      <c r="X268" s="456">
        <f t="shared" si="337"/>
        <v>272.6358338632935</v>
      </c>
      <c r="Z268" s="225">
        <f t="shared" si="338"/>
        <v>0.66606005459508633</v>
      </c>
      <c r="AA268" s="181">
        <f t="shared" si="339"/>
        <v>1.7470427661510461</v>
      </c>
      <c r="AB268" s="181">
        <f t="shared" si="364"/>
        <v>0.1328062141535481</v>
      </c>
      <c r="AC268" s="181"/>
      <c r="AD268" s="181">
        <f t="shared" si="341"/>
        <v>0.76065573770491812</v>
      </c>
      <c r="AE268" s="565">
        <f t="shared" si="365"/>
        <v>1414.3876337693223</v>
      </c>
      <c r="AF268" s="548">
        <f t="shared" si="366"/>
        <v>3.8603278688524589E-2</v>
      </c>
      <c r="AH268" s="181">
        <f t="shared" si="367"/>
        <v>0.71594093930395442</v>
      </c>
      <c r="AI268" s="181">
        <f t="shared" si="368"/>
        <v>0.85506375227686693</v>
      </c>
      <c r="AJ268" s="181">
        <f t="shared" si="369"/>
        <v>1.6185657424273088</v>
      </c>
      <c r="AL268" s="565">
        <f t="shared" si="370"/>
        <v>156</v>
      </c>
      <c r="AM268" s="474">
        <f t="shared" si="371"/>
        <v>272.6358338632935</v>
      </c>
      <c r="AO268">
        <f t="shared" si="349"/>
        <v>156</v>
      </c>
      <c r="AP268">
        <f t="shared" si="350"/>
        <v>272.6358338632935</v>
      </c>
      <c r="AR268" s="6">
        <f t="shared" si="374"/>
        <v>3.6678964237013147</v>
      </c>
      <c r="AS268" s="6">
        <f t="shared" si="353"/>
        <v>1.4251062537947783</v>
      </c>
      <c r="AT268" s="6">
        <f t="shared" si="354"/>
        <v>2.2427901699065362</v>
      </c>
      <c r="AU268" s="181">
        <f t="shared" si="355"/>
        <v>0.38853503184713373</v>
      </c>
      <c r="CB268" s="583">
        <f t="shared" si="372"/>
        <v>-50</v>
      </c>
    </row>
    <row r="269" spans="5:80" x14ac:dyDescent="0.2">
      <c r="E269" s="178">
        <v>53</v>
      </c>
      <c r="F269" s="225">
        <f t="shared" si="373"/>
        <v>0.159</v>
      </c>
      <c r="G269" s="225">
        <f t="shared" si="356"/>
        <v>0.159</v>
      </c>
      <c r="H269" s="225">
        <f t="shared" si="357"/>
        <v>2.3850000000000002</v>
      </c>
      <c r="I269" s="225">
        <f t="shared" si="358"/>
        <v>1.272</v>
      </c>
      <c r="J269" s="561">
        <f t="shared" si="324"/>
        <v>24</v>
      </c>
      <c r="K269" s="456">
        <f t="shared" si="325"/>
        <v>15.25</v>
      </c>
      <c r="L269" s="456">
        <f t="shared" si="326"/>
        <v>39.25</v>
      </c>
      <c r="M269" s="456"/>
      <c r="N269" s="225">
        <f t="shared" si="327"/>
        <v>0.38853503184713378</v>
      </c>
      <c r="O269" s="180">
        <f t="shared" si="359"/>
        <v>3.9681251730822482</v>
      </c>
      <c r="P269" s="180">
        <f t="shared" si="360"/>
        <v>3.2450445859872605</v>
      </c>
      <c r="Q269" s="225">
        <f t="shared" si="330"/>
        <v>0.26454167820548319</v>
      </c>
      <c r="R269" s="225">
        <f t="shared" si="361"/>
        <v>0.49601564663528103</v>
      </c>
      <c r="S269" s="225">
        <f t="shared" si="362"/>
        <v>15</v>
      </c>
      <c r="T269" s="225">
        <f t="shared" si="363"/>
        <v>0.871507285974499</v>
      </c>
      <c r="U269" s="225">
        <f t="shared" si="334"/>
        <v>1.4525121432908319</v>
      </c>
      <c r="V269" s="225">
        <f t="shared" si="335"/>
        <v>2.2859207500970466</v>
      </c>
      <c r="W269" s="205">
        <f t="shared" si="336"/>
        <v>350</v>
      </c>
      <c r="X269" s="456">
        <f t="shared" si="337"/>
        <v>267.49176152625023</v>
      </c>
      <c r="Z269" s="225">
        <f t="shared" si="338"/>
        <v>0.66606005459508633</v>
      </c>
      <c r="AA269" s="181">
        <f t="shared" si="339"/>
        <v>1.7470427661510461</v>
      </c>
      <c r="AB269" s="181">
        <f t="shared" si="364"/>
        <v>0.1328062141535481</v>
      </c>
      <c r="AC269" s="181"/>
      <c r="AD269" s="181">
        <f t="shared" si="341"/>
        <v>0.76065573770491812</v>
      </c>
      <c r="AE269" s="565">
        <f t="shared" si="365"/>
        <v>1441.5873959571938</v>
      </c>
      <c r="AF269" s="548">
        <f t="shared" si="366"/>
        <v>3.8603278688524589E-2</v>
      </c>
      <c r="AH269" s="181">
        <f t="shared" si="367"/>
        <v>0.72279220487535101</v>
      </c>
      <c r="AI269" s="181">
        <f t="shared" si="368"/>
        <v>0.871507285974499</v>
      </c>
      <c r="AJ269" s="181">
        <f t="shared" si="369"/>
        <v>1.6307461377588881</v>
      </c>
      <c r="AL269" s="565">
        <f t="shared" si="370"/>
        <v>159</v>
      </c>
      <c r="AM269" s="474">
        <f t="shared" si="371"/>
        <v>267.49176152625023</v>
      </c>
      <c r="AO269">
        <f t="shared" si="349"/>
        <v>159</v>
      </c>
      <c r="AP269">
        <f t="shared" si="350"/>
        <v>267.49176152625023</v>
      </c>
      <c r="AR269" s="6">
        <f t="shared" si="374"/>
        <v>3.7384328933878783</v>
      </c>
      <c r="AS269" s="6">
        <f t="shared" si="353"/>
        <v>1.4525121432908319</v>
      </c>
      <c r="AT269" s="6">
        <f t="shared" si="354"/>
        <v>2.2859207500970466</v>
      </c>
      <c r="AU269" s="181">
        <f t="shared" si="355"/>
        <v>0.38853503184713378</v>
      </c>
      <c r="CB269" s="583">
        <f t="shared" si="372"/>
        <v>-50</v>
      </c>
    </row>
    <row r="270" spans="5:80" x14ac:dyDescent="0.2">
      <c r="E270" s="178">
        <v>54</v>
      </c>
      <c r="F270" s="225">
        <f t="shared" si="373"/>
        <v>0.16200000000000001</v>
      </c>
      <c r="G270" s="225">
        <f t="shared" si="356"/>
        <v>0.16200000000000001</v>
      </c>
      <c r="H270" s="225">
        <f t="shared" si="357"/>
        <v>2.4300000000000002</v>
      </c>
      <c r="I270" s="225">
        <f t="shared" si="358"/>
        <v>1.296</v>
      </c>
      <c r="J270" s="561">
        <f t="shared" si="324"/>
        <v>24</v>
      </c>
      <c r="K270" s="456">
        <f t="shared" si="325"/>
        <v>15.25</v>
      </c>
      <c r="L270" s="456">
        <f t="shared" si="326"/>
        <v>39.25</v>
      </c>
      <c r="M270" s="456"/>
      <c r="N270" s="225">
        <f t="shared" si="327"/>
        <v>0.38853503184713378</v>
      </c>
      <c r="O270" s="180">
        <f t="shared" si="359"/>
        <v>3.9681251730822482</v>
      </c>
      <c r="P270" s="180">
        <f t="shared" si="360"/>
        <v>3.2450445859872605</v>
      </c>
      <c r="Q270" s="225">
        <f t="shared" si="330"/>
        <v>0.26454167820548319</v>
      </c>
      <c r="R270" s="225">
        <f t="shared" si="361"/>
        <v>0.49601564663528103</v>
      </c>
      <c r="S270" s="225">
        <f t="shared" si="362"/>
        <v>15</v>
      </c>
      <c r="T270" s="225">
        <f t="shared" si="363"/>
        <v>0.88795081967213108</v>
      </c>
      <c r="U270" s="225">
        <f t="shared" si="334"/>
        <v>1.4799180327868853</v>
      </c>
      <c r="V270" s="225">
        <f t="shared" si="335"/>
        <v>2.3290513302875571</v>
      </c>
      <c r="W270" s="205">
        <f t="shared" si="336"/>
        <v>350</v>
      </c>
      <c r="X270" s="456">
        <f t="shared" si="337"/>
        <v>262.53821038687522</v>
      </c>
      <c r="Z270" s="225">
        <f t="shared" si="338"/>
        <v>0.66606005459508633</v>
      </c>
      <c r="AA270" s="181">
        <f t="shared" si="339"/>
        <v>1.7470427661510461</v>
      </c>
      <c r="AB270" s="181">
        <f t="shared" si="364"/>
        <v>0.1328062141535481</v>
      </c>
      <c r="AC270" s="181"/>
      <c r="AD270" s="181">
        <f t="shared" si="341"/>
        <v>0.76065573770491812</v>
      </c>
      <c r="AE270" s="565">
        <f t="shared" si="365"/>
        <v>1468.7871581450654</v>
      </c>
      <c r="AF270" s="548">
        <f t="shared" si="366"/>
        <v>3.8603278688524589E-2</v>
      </c>
      <c r="AH270" s="181">
        <f t="shared" si="367"/>
        <v>0.72957913503999983</v>
      </c>
      <c r="AI270" s="181">
        <f t="shared" si="368"/>
        <v>0.88795081967213108</v>
      </c>
      <c r="AJ270" s="181">
        <f t="shared" si="369"/>
        <v>1.6429265330904674</v>
      </c>
      <c r="AL270" s="565">
        <f t="shared" si="370"/>
        <v>162</v>
      </c>
      <c r="AM270" s="474">
        <f t="shared" si="371"/>
        <v>262.53821038687522</v>
      </c>
      <c r="AO270">
        <f t="shared" si="349"/>
        <v>162</v>
      </c>
      <c r="AP270">
        <f t="shared" si="350"/>
        <v>262.53821038687522</v>
      </c>
      <c r="AR270" s="6">
        <f t="shared" si="374"/>
        <v>3.8089693630744423</v>
      </c>
      <c r="AS270" s="6">
        <f t="shared" si="353"/>
        <v>1.4799180327868853</v>
      </c>
      <c r="AT270" s="6">
        <f t="shared" si="354"/>
        <v>2.3290513302875571</v>
      </c>
      <c r="AU270" s="181">
        <f t="shared" si="355"/>
        <v>0.38853503184713378</v>
      </c>
      <c r="CB270" s="583">
        <f t="shared" si="372"/>
        <v>-50</v>
      </c>
    </row>
    <row r="271" spans="5:80" x14ac:dyDescent="0.2">
      <c r="E271" s="178">
        <v>55</v>
      </c>
      <c r="F271" s="225">
        <f t="shared" si="373"/>
        <v>0.16500000000000001</v>
      </c>
      <c r="G271" s="225">
        <f t="shared" si="356"/>
        <v>0.16500000000000001</v>
      </c>
      <c r="H271" s="225">
        <f t="shared" si="357"/>
        <v>2.4750000000000001</v>
      </c>
      <c r="I271" s="225">
        <f t="shared" si="358"/>
        <v>1.32</v>
      </c>
      <c r="J271" s="561">
        <f t="shared" si="324"/>
        <v>24</v>
      </c>
      <c r="K271" s="456">
        <f t="shared" si="325"/>
        <v>15.25</v>
      </c>
      <c r="L271" s="456">
        <f t="shared" si="326"/>
        <v>39.25</v>
      </c>
      <c r="M271" s="456"/>
      <c r="N271" s="225">
        <f t="shared" si="327"/>
        <v>0.38853503184713378</v>
      </c>
      <c r="O271" s="180">
        <f t="shared" si="359"/>
        <v>3.9681251730822482</v>
      </c>
      <c r="P271" s="180">
        <f t="shared" si="360"/>
        <v>3.2450445859872605</v>
      </c>
      <c r="Q271" s="225">
        <f t="shared" si="330"/>
        <v>0.26454167820548319</v>
      </c>
      <c r="R271" s="225">
        <f t="shared" si="361"/>
        <v>0.49601564663528103</v>
      </c>
      <c r="S271" s="225">
        <f t="shared" si="362"/>
        <v>15</v>
      </c>
      <c r="T271" s="225">
        <f t="shared" si="363"/>
        <v>0.90439435336976315</v>
      </c>
      <c r="U271" s="225">
        <f t="shared" si="334"/>
        <v>1.5073239222829389</v>
      </c>
      <c r="V271" s="225">
        <f t="shared" si="335"/>
        <v>2.3721819104780675</v>
      </c>
      <c r="W271" s="205">
        <f t="shared" si="336"/>
        <v>350</v>
      </c>
      <c r="X271" s="456">
        <f t="shared" si="337"/>
        <v>257.76478837984109</v>
      </c>
      <c r="Z271" s="225">
        <f t="shared" si="338"/>
        <v>0.66606005459508633</v>
      </c>
      <c r="AA271" s="181">
        <f t="shared" si="339"/>
        <v>1.7470427661510461</v>
      </c>
      <c r="AB271" s="181">
        <f t="shared" si="364"/>
        <v>0.1328062141535481</v>
      </c>
      <c r="AC271" s="181"/>
      <c r="AD271" s="181">
        <f t="shared" si="341"/>
        <v>0.76065573770491812</v>
      </c>
      <c r="AE271" s="565">
        <f t="shared" si="365"/>
        <v>1495.986920332937</v>
      </c>
      <c r="AF271" s="548">
        <f t="shared" si="366"/>
        <v>3.8603278688524589E-2</v>
      </c>
      <c r="AH271" s="181">
        <f t="shared" si="367"/>
        <v>0.73630350884866569</v>
      </c>
      <c r="AI271" s="181">
        <f t="shared" si="368"/>
        <v>0.90439435336976315</v>
      </c>
      <c r="AJ271" s="181">
        <f t="shared" si="369"/>
        <v>1.6551069284220468</v>
      </c>
      <c r="AL271" s="565">
        <f t="shared" si="370"/>
        <v>165</v>
      </c>
      <c r="AM271" s="474">
        <f t="shared" si="371"/>
        <v>257.76478837984109</v>
      </c>
      <c r="AO271">
        <f t="shared" si="349"/>
        <v>165</v>
      </c>
      <c r="AP271">
        <f t="shared" si="350"/>
        <v>257.76478837984109</v>
      </c>
      <c r="AR271" s="6">
        <f t="shared" si="374"/>
        <v>3.8795058327610064</v>
      </c>
      <c r="AS271" s="6">
        <f t="shared" si="353"/>
        <v>1.5073239222829389</v>
      </c>
      <c r="AT271" s="6">
        <f t="shared" si="354"/>
        <v>2.3721819104780675</v>
      </c>
      <c r="AU271" s="181">
        <f t="shared" si="355"/>
        <v>0.38853503184713378</v>
      </c>
      <c r="CB271" s="583">
        <f t="shared" si="372"/>
        <v>-50</v>
      </c>
    </row>
    <row r="272" spans="5:80" x14ac:dyDescent="0.2">
      <c r="E272" s="178">
        <v>56</v>
      </c>
      <c r="F272" s="225">
        <f t="shared" si="373"/>
        <v>0.16800000000000001</v>
      </c>
      <c r="G272" s="225">
        <f t="shared" si="356"/>
        <v>0.16800000000000001</v>
      </c>
      <c r="H272" s="225">
        <f t="shared" si="357"/>
        <v>2.52</v>
      </c>
      <c r="I272" s="225">
        <f t="shared" si="358"/>
        <v>1.3440000000000001</v>
      </c>
      <c r="J272" s="561">
        <f t="shared" si="324"/>
        <v>24</v>
      </c>
      <c r="K272" s="456">
        <f t="shared" si="325"/>
        <v>15.25</v>
      </c>
      <c r="L272" s="456">
        <f t="shared" si="326"/>
        <v>39.25</v>
      </c>
      <c r="M272" s="456"/>
      <c r="N272" s="225">
        <f t="shared" si="327"/>
        <v>0.38853503184713378</v>
      </c>
      <c r="O272" s="180">
        <f t="shared" si="359"/>
        <v>3.9681251730822482</v>
      </c>
      <c r="P272" s="180">
        <f t="shared" si="360"/>
        <v>3.2450445859872605</v>
      </c>
      <c r="Q272" s="225">
        <f t="shared" si="330"/>
        <v>0.26454167820548319</v>
      </c>
      <c r="R272" s="225">
        <f t="shared" si="361"/>
        <v>0.49601564663528103</v>
      </c>
      <c r="S272" s="225">
        <f t="shared" si="362"/>
        <v>15</v>
      </c>
      <c r="T272" s="225">
        <f t="shared" si="363"/>
        <v>0.92083788706739511</v>
      </c>
      <c r="U272" s="225">
        <f t="shared" si="334"/>
        <v>1.534729811778992</v>
      </c>
      <c r="V272" s="225">
        <f t="shared" si="335"/>
        <v>2.4153124906685774</v>
      </c>
      <c r="W272" s="205">
        <f t="shared" si="336"/>
        <v>350</v>
      </c>
      <c r="X272" s="456">
        <f t="shared" si="337"/>
        <v>253.16184573020112</v>
      </c>
      <c r="Z272" s="225">
        <f t="shared" si="338"/>
        <v>0.66606005459508633</v>
      </c>
      <c r="AA272" s="181">
        <f t="shared" si="339"/>
        <v>1.7470427661510461</v>
      </c>
      <c r="AB272" s="181">
        <f t="shared" si="364"/>
        <v>0.1328062141535481</v>
      </c>
      <c r="AC272" s="181"/>
      <c r="AD272" s="181">
        <f t="shared" si="341"/>
        <v>0.76065573770491812</v>
      </c>
      <c r="AE272" s="565">
        <f t="shared" si="365"/>
        <v>1523.1866825208087</v>
      </c>
      <c r="AF272" s="548">
        <f t="shared" si="366"/>
        <v>3.8603278688524589E-2</v>
      </c>
      <c r="AH272" s="181">
        <f t="shared" si="367"/>
        <v>0.74296702484026833</v>
      </c>
      <c r="AI272" s="181">
        <f t="shared" si="368"/>
        <v>0.92083788706739511</v>
      </c>
      <c r="AJ272" s="181">
        <f t="shared" si="369"/>
        <v>1.6672873237536261</v>
      </c>
      <c r="AL272" s="565">
        <f t="shared" si="370"/>
        <v>168</v>
      </c>
      <c r="AM272" s="474">
        <f t="shared" si="371"/>
        <v>253.16184573020112</v>
      </c>
      <c r="AO272">
        <f t="shared" si="349"/>
        <v>168</v>
      </c>
      <c r="AP272">
        <f t="shared" si="350"/>
        <v>253.16184573020112</v>
      </c>
      <c r="AR272" s="6">
        <f t="shared" si="374"/>
        <v>3.9500423024475695</v>
      </c>
      <c r="AS272" s="6">
        <f t="shared" si="353"/>
        <v>1.534729811778992</v>
      </c>
      <c r="AT272" s="6">
        <f t="shared" si="354"/>
        <v>2.4153124906685774</v>
      </c>
      <c r="AU272" s="181">
        <f t="shared" si="355"/>
        <v>0.38853503184713378</v>
      </c>
      <c r="CB272" s="583">
        <f t="shared" si="372"/>
        <v>-50</v>
      </c>
    </row>
    <row r="273" spans="5:80" x14ac:dyDescent="0.2">
      <c r="E273" s="178">
        <v>57</v>
      </c>
      <c r="F273" s="225">
        <f t="shared" si="373"/>
        <v>0.17099999999999999</v>
      </c>
      <c r="G273" s="225">
        <f t="shared" si="356"/>
        <v>0.17099999999999999</v>
      </c>
      <c r="H273" s="225">
        <f t="shared" si="357"/>
        <v>2.5649999999999999</v>
      </c>
      <c r="I273" s="225">
        <f t="shared" si="358"/>
        <v>1.3679999999999999</v>
      </c>
      <c r="J273" s="561">
        <f t="shared" si="324"/>
        <v>24</v>
      </c>
      <c r="K273" s="456">
        <f t="shared" si="325"/>
        <v>15.25</v>
      </c>
      <c r="L273" s="456">
        <f t="shared" si="326"/>
        <v>39.25</v>
      </c>
      <c r="M273" s="456"/>
      <c r="N273" s="225">
        <f t="shared" si="327"/>
        <v>0.38853503184713378</v>
      </c>
      <c r="O273" s="180">
        <f t="shared" si="359"/>
        <v>3.9681251730822482</v>
      </c>
      <c r="P273" s="180">
        <f t="shared" si="360"/>
        <v>3.2450445859872605</v>
      </c>
      <c r="Q273" s="225">
        <f t="shared" si="330"/>
        <v>0.26454167820548319</v>
      </c>
      <c r="R273" s="225">
        <f t="shared" si="361"/>
        <v>0.49601564663528103</v>
      </c>
      <c r="S273" s="225">
        <f t="shared" si="362"/>
        <v>15</v>
      </c>
      <c r="T273" s="225">
        <f t="shared" si="363"/>
        <v>0.93728142076502718</v>
      </c>
      <c r="U273" s="225">
        <f t="shared" si="334"/>
        <v>1.5621357012750454</v>
      </c>
      <c r="V273" s="225">
        <f t="shared" si="335"/>
        <v>2.4584430708590879</v>
      </c>
      <c r="W273" s="205">
        <f t="shared" si="336"/>
        <v>350</v>
      </c>
      <c r="X273" s="456">
        <f t="shared" si="337"/>
        <v>248.72040984019762</v>
      </c>
      <c r="Z273" s="225">
        <f t="shared" si="338"/>
        <v>0.66606005459508633</v>
      </c>
      <c r="AA273" s="181">
        <f t="shared" si="339"/>
        <v>1.7470427661510461</v>
      </c>
      <c r="AB273" s="181">
        <f t="shared" si="364"/>
        <v>0.1328062141535481</v>
      </c>
      <c r="AC273" s="181"/>
      <c r="AD273" s="181">
        <f t="shared" si="341"/>
        <v>0.76065573770491812</v>
      </c>
      <c r="AE273" s="565">
        <f t="shared" si="365"/>
        <v>1550.3864447086801</v>
      </c>
      <c r="AF273" s="548">
        <f t="shared" si="366"/>
        <v>3.8603278688524589E-2</v>
      </c>
      <c r="AH273" s="181">
        <f t="shared" si="367"/>
        <v>0.74957130605242805</v>
      </c>
      <c r="AI273" s="181">
        <f t="shared" si="368"/>
        <v>0.93728142076502718</v>
      </c>
      <c r="AJ273" s="181">
        <f t="shared" si="369"/>
        <v>1.6794677190852054</v>
      </c>
      <c r="AL273" s="565">
        <f t="shared" si="370"/>
        <v>170.99999999999997</v>
      </c>
      <c r="AM273" s="474">
        <f t="shared" si="371"/>
        <v>248.72040984019762</v>
      </c>
      <c r="AO273">
        <f t="shared" si="349"/>
        <v>170.99999999999997</v>
      </c>
      <c r="AP273">
        <f t="shared" si="350"/>
        <v>248.72040984019762</v>
      </c>
      <c r="AR273" s="6">
        <f t="shared" si="374"/>
        <v>4.0205787721341331</v>
      </c>
      <c r="AS273" s="6">
        <f t="shared" si="353"/>
        <v>1.5621357012750454</v>
      </c>
      <c r="AT273" s="6">
        <f t="shared" si="354"/>
        <v>2.4584430708590874</v>
      </c>
      <c r="AU273" s="181">
        <f t="shared" si="355"/>
        <v>0.38853503184713378</v>
      </c>
      <c r="CB273" s="583">
        <f t="shared" si="372"/>
        <v>-50</v>
      </c>
    </row>
    <row r="274" spans="5:80" x14ac:dyDescent="0.2">
      <c r="E274" s="178">
        <v>58</v>
      </c>
      <c r="F274" s="225">
        <f t="shared" si="373"/>
        <v>0.17399999999999999</v>
      </c>
      <c r="G274" s="225">
        <f t="shared" si="356"/>
        <v>0.17399999999999999</v>
      </c>
      <c r="H274" s="225">
        <f t="shared" si="357"/>
        <v>2.61</v>
      </c>
      <c r="I274" s="225">
        <f t="shared" si="358"/>
        <v>1.3919999999999999</v>
      </c>
      <c r="J274" s="561">
        <f t="shared" si="324"/>
        <v>24</v>
      </c>
      <c r="K274" s="456">
        <f t="shared" si="325"/>
        <v>15.25</v>
      </c>
      <c r="L274" s="456">
        <f t="shared" si="326"/>
        <v>39.25</v>
      </c>
      <c r="M274" s="456"/>
      <c r="N274" s="225">
        <f t="shared" si="327"/>
        <v>0.38853503184713378</v>
      </c>
      <c r="O274" s="180">
        <f t="shared" si="359"/>
        <v>3.9681251730822482</v>
      </c>
      <c r="P274" s="180">
        <f t="shared" si="360"/>
        <v>3.2450445859872605</v>
      </c>
      <c r="Q274" s="225">
        <f t="shared" si="330"/>
        <v>0.26454167820548319</v>
      </c>
      <c r="R274" s="225">
        <f t="shared" si="361"/>
        <v>0.49601564663528103</v>
      </c>
      <c r="S274" s="225">
        <f t="shared" si="362"/>
        <v>15</v>
      </c>
      <c r="T274" s="225">
        <f t="shared" si="363"/>
        <v>0.95372495446265926</v>
      </c>
      <c r="U274" s="225">
        <f t="shared" si="334"/>
        <v>1.5895415907710988</v>
      </c>
      <c r="V274" s="225">
        <f t="shared" si="335"/>
        <v>2.5015736510495983</v>
      </c>
      <c r="W274" s="205">
        <f t="shared" si="336"/>
        <v>350</v>
      </c>
      <c r="X274" s="456">
        <f t="shared" si="337"/>
        <v>244.43212691191832</v>
      </c>
      <c r="Z274" s="225">
        <f t="shared" si="338"/>
        <v>0.66606005459508633</v>
      </c>
      <c r="AA274" s="181">
        <f t="shared" si="339"/>
        <v>1.7470427661510461</v>
      </c>
      <c r="AB274" s="181">
        <f t="shared" si="364"/>
        <v>0.1328062141535481</v>
      </c>
      <c r="AC274" s="181"/>
      <c r="AD274" s="181">
        <f t="shared" si="341"/>
        <v>0.76065573770491812</v>
      </c>
      <c r="AE274" s="565">
        <f t="shared" si="365"/>
        <v>1577.5862068965516</v>
      </c>
      <c r="AF274" s="548">
        <f t="shared" si="366"/>
        <v>3.8603278688524589E-2</v>
      </c>
      <c r="AH274" s="181">
        <f t="shared" si="367"/>
        <v>0.75611790463808326</v>
      </c>
      <c r="AI274" s="181">
        <f t="shared" si="368"/>
        <v>0.95372495446265926</v>
      </c>
      <c r="AJ274" s="181">
        <f t="shared" si="369"/>
        <v>1.6916481144167848</v>
      </c>
      <c r="AL274" s="565">
        <f t="shared" si="370"/>
        <v>174</v>
      </c>
      <c r="AM274" s="474">
        <f t="shared" si="371"/>
        <v>244.43212691191832</v>
      </c>
      <c r="AO274">
        <f t="shared" si="349"/>
        <v>174</v>
      </c>
      <c r="AP274">
        <f t="shared" si="350"/>
        <v>244.43212691191832</v>
      </c>
      <c r="AR274" s="6">
        <f t="shared" si="374"/>
        <v>4.0911152418206971</v>
      </c>
      <c r="AS274" s="6">
        <f t="shared" si="353"/>
        <v>1.5895415907710988</v>
      </c>
      <c r="AT274" s="6">
        <f t="shared" si="354"/>
        <v>2.5015736510495983</v>
      </c>
      <c r="AU274" s="181">
        <f t="shared" si="355"/>
        <v>0.38853503184713373</v>
      </c>
      <c r="CB274" s="583">
        <f t="shared" si="372"/>
        <v>-50</v>
      </c>
    </row>
    <row r="275" spans="5:80" x14ac:dyDescent="0.2">
      <c r="E275" s="178">
        <v>59</v>
      </c>
      <c r="F275" s="225">
        <f t="shared" si="373"/>
        <v>0.17699999999999999</v>
      </c>
      <c r="G275" s="225">
        <f t="shared" si="356"/>
        <v>0.17699999999999999</v>
      </c>
      <c r="H275" s="225">
        <f t="shared" si="357"/>
        <v>2.6549999999999998</v>
      </c>
      <c r="I275" s="225">
        <f t="shared" si="358"/>
        <v>1.4159999999999999</v>
      </c>
      <c r="J275" s="561">
        <f t="shared" si="324"/>
        <v>24</v>
      </c>
      <c r="K275" s="456">
        <f t="shared" si="325"/>
        <v>15.25</v>
      </c>
      <c r="L275" s="456">
        <f t="shared" si="326"/>
        <v>39.25</v>
      </c>
      <c r="M275" s="456"/>
      <c r="N275" s="225">
        <f t="shared" si="327"/>
        <v>0.38853503184713378</v>
      </c>
      <c r="O275" s="180">
        <f t="shared" si="359"/>
        <v>3.9681251730822482</v>
      </c>
      <c r="P275" s="180">
        <f t="shared" si="360"/>
        <v>3.2450445859872605</v>
      </c>
      <c r="Q275" s="225">
        <f t="shared" si="330"/>
        <v>0.26454167820548319</v>
      </c>
      <c r="R275" s="225">
        <f t="shared" si="361"/>
        <v>0.49601564663528103</v>
      </c>
      <c r="S275" s="225">
        <f t="shared" si="362"/>
        <v>15</v>
      </c>
      <c r="T275" s="225">
        <f t="shared" si="363"/>
        <v>0.97016848816029133</v>
      </c>
      <c r="U275" s="225">
        <f t="shared" si="334"/>
        <v>1.6169474802671522</v>
      </c>
      <c r="V275" s="225">
        <f t="shared" si="335"/>
        <v>2.5447042312401087</v>
      </c>
      <c r="W275" s="205">
        <f t="shared" si="336"/>
        <v>350</v>
      </c>
      <c r="X275" s="456">
        <f t="shared" si="337"/>
        <v>240.28920950663155</v>
      </c>
      <c r="Z275" s="225">
        <f t="shared" si="338"/>
        <v>0.66606005459508633</v>
      </c>
      <c r="AA275" s="181">
        <f t="shared" si="339"/>
        <v>1.7470427661510461</v>
      </c>
      <c r="AB275" s="181">
        <f t="shared" si="364"/>
        <v>0.1328062141535481</v>
      </c>
      <c r="AC275" s="181"/>
      <c r="AD275" s="181">
        <f t="shared" si="341"/>
        <v>0.76065573770491812</v>
      </c>
      <c r="AE275" s="565">
        <f t="shared" si="365"/>
        <v>1604.7859690844232</v>
      </c>
      <c r="AF275" s="548">
        <f t="shared" si="366"/>
        <v>3.8603278688524589E-2</v>
      </c>
      <c r="AH275" s="181">
        <f t="shared" si="367"/>
        <v>0.76260830612538466</v>
      </c>
      <c r="AI275" s="181">
        <f t="shared" si="368"/>
        <v>0.97016848816029133</v>
      </c>
      <c r="AJ275" s="181">
        <f t="shared" si="369"/>
        <v>1.7038285097483641</v>
      </c>
      <c r="AL275" s="565">
        <f t="shared" si="370"/>
        <v>177</v>
      </c>
      <c r="AM275" s="474">
        <f t="shared" si="371"/>
        <v>240.28920950663155</v>
      </c>
      <c r="AO275">
        <f t="shared" si="349"/>
        <v>177</v>
      </c>
      <c r="AP275">
        <f t="shared" si="350"/>
        <v>240.28920950663155</v>
      </c>
      <c r="AR275" s="6">
        <f t="shared" si="374"/>
        <v>4.1616517115072611</v>
      </c>
      <c r="AS275" s="6">
        <f t="shared" si="353"/>
        <v>1.6169474802671522</v>
      </c>
      <c r="AT275" s="6">
        <f t="shared" si="354"/>
        <v>2.5447042312401091</v>
      </c>
      <c r="AU275" s="181">
        <f t="shared" si="355"/>
        <v>0.38853503184713373</v>
      </c>
      <c r="CB275" s="583">
        <f t="shared" si="372"/>
        <v>-50</v>
      </c>
    </row>
    <row r="276" spans="5:80" x14ac:dyDescent="0.2">
      <c r="E276" s="178">
        <v>60</v>
      </c>
      <c r="F276" s="225">
        <f t="shared" si="373"/>
        <v>0.18</v>
      </c>
      <c r="G276" s="225">
        <f t="shared" si="356"/>
        <v>0.18</v>
      </c>
      <c r="H276" s="225">
        <f t="shared" si="357"/>
        <v>2.6999999999999997</v>
      </c>
      <c r="I276" s="225">
        <f t="shared" si="358"/>
        <v>1.44</v>
      </c>
      <c r="J276" s="561">
        <f t="shared" si="324"/>
        <v>24</v>
      </c>
      <c r="K276" s="456">
        <f t="shared" si="325"/>
        <v>15.25</v>
      </c>
      <c r="L276" s="456">
        <f t="shared" si="326"/>
        <v>39.25</v>
      </c>
      <c r="M276" s="456"/>
      <c r="N276" s="225">
        <f t="shared" si="327"/>
        <v>0.38853503184713378</v>
      </c>
      <c r="O276" s="180">
        <f t="shared" si="359"/>
        <v>3.9681251730822482</v>
      </c>
      <c r="P276" s="180">
        <f t="shared" si="360"/>
        <v>3.2450445859872605</v>
      </c>
      <c r="Q276" s="225">
        <f t="shared" si="330"/>
        <v>0.26454167820548319</v>
      </c>
      <c r="R276" s="225">
        <f t="shared" si="361"/>
        <v>0.49601564663528103</v>
      </c>
      <c r="S276" s="225">
        <f t="shared" si="362"/>
        <v>15</v>
      </c>
      <c r="T276" s="225">
        <f t="shared" si="363"/>
        <v>0.98661202185792329</v>
      </c>
      <c r="U276" s="225">
        <f t="shared" si="334"/>
        <v>1.6443533697632058</v>
      </c>
      <c r="V276" s="225">
        <f t="shared" si="335"/>
        <v>2.5878348114306187</v>
      </c>
      <c r="W276" s="205">
        <f t="shared" si="336"/>
        <v>350</v>
      </c>
      <c r="X276" s="456">
        <f t="shared" si="337"/>
        <v>236.28438934818772</v>
      </c>
      <c r="Z276" s="225">
        <f t="shared" si="338"/>
        <v>0.66606005459508633</v>
      </c>
      <c r="AA276" s="181">
        <f t="shared" si="339"/>
        <v>1.7470427661510461</v>
      </c>
      <c r="AB276" s="181">
        <f t="shared" si="364"/>
        <v>0.1328062141535481</v>
      </c>
      <c r="AC276" s="181"/>
      <c r="AD276" s="181">
        <f t="shared" si="341"/>
        <v>0.76065573770491812</v>
      </c>
      <c r="AE276" s="565">
        <f t="shared" si="365"/>
        <v>1631.985731272295</v>
      </c>
      <c r="AF276" s="548">
        <f t="shared" si="366"/>
        <v>3.8603278688524589E-2</v>
      </c>
      <c r="AH276" s="181">
        <f t="shared" si="367"/>
        <v>0.7690439333539868</v>
      </c>
      <c r="AI276" s="181">
        <f t="shared" si="368"/>
        <v>0.98661202185792329</v>
      </c>
      <c r="AJ276" s="181">
        <f t="shared" si="369"/>
        <v>1.716008905079943</v>
      </c>
      <c r="AL276" s="565">
        <f t="shared" si="370"/>
        <v>180</v>
      </c>
      <c r="AM276" s="474">
        <f t="shared" si="371"/>
        <v>236.28438934818772</v>
      </c>
      <c r="AO276">
        <f t="shared" si="349"/>
        <v>180</v>
      </c>
      <c r="AP276">
        <f t="shared" si="350"/>
        <v>236.28438934818772</v>
      </c>
      <c r="AR276" s="6">
        <f t="shared" si="374"/>
        <v>4.2321881811938242</v>
      </c>
      <c r="AS276" s="6">
        <f t="shared" si="353"/>
        <v>1.6443533697632058</v>
      </c>
      <c r="AT276" s="6">
        <f t="shared" si="354"/>
        <v>2.5878348114306187</v>
      </c>
      <c r="AU276" s="181">
        <f t="shared" si="355"/>
        <v>0.38853503184713378</v>
      </c>
      <c r="CB276" s="583">
        <f t="shared" si="372"/>
        <v>-50</v>
      </c>
    </row>
    <row r="277" spans="5:80" x14ac:dyDescent="0.2">
      <c r="E277" s="178">
        <v>61</v>
      </c>
      <c r="F277" s="225">
        <f t="shared" si="373"/>
        <v>0.183</v>
      </c>
      <c r="G277" s="225">
        <f t="shared" si="356"/>
        <v>0.183</v>
      </c>
      <c r="H277" s="225">
        <f t="shared" si="357"/>
        <v>2.7450000000000001</v>
      </c>
      <c r="I277" s="225">
        <f t="shared" si="358"/>
        <v>1.464</v>
      </c>
      <c r="J277" s="561">
        <f t="shared" si="324"/>
        <v>24</v>
      </c>
      <c r="K277" s="456">
        <f t="shared" si="325"/>
        <v>15.25</v>
      </c>
      <c r="L277" s="456">
        <f t="shared" si="326"/>
        <v>39.25</v>
      </c>
      <c r="M277" s="456"/>
      <c r="N277" s="225">
        <f t="shared" si="327"/>
        <v>0.38853503184713378</v>
      </c>
      <c r="O277" s="180">
        <f t="shared" si="359"/>
        <v>3.9681251730822482</v>
      </c>
      <c r="P277" s="180">
        <f t="shared" si="360"/>
        <v>3.2450445859872605</v>
      </c>
      <c r="Q277" s="225">
        <f t="shared" si="330"/>
        <v>0.26454167820548319</v>
      </c>
      <c r="R277" s="225">
        <f t="shared" si="361"/>
        <v>0.49601564663528103</v>
      </c>
      <c r="S277" s="225">
        <f t="shared" si="362"/>
        <v>15</v>
      </c>
      <c r="T277" s="225">
        <f t="shared" si="363"/>
        <v>1.0030555555555554</v>
      </c>
      <c r="U277" s="225">
        <f t="shared" si="334"/>
        <v>1.6717592592592592</v>
      </c>
      <c r="V277" s="225">
        <f t="shared" si="335"/>
        <v>2.6309653916211291</v>
      </c>
      <c r="W277" s="205">
        <f t="shared" si="336"/>
        <v>350</v>
      </c>
      <c r="X277" s="456">
        <f t="shared" si="337"/>
        <v>232.41087476870922</v>
      </c>
      <c r="Z277" s="225">
        <f t="shared" si="338"/>
        <v>0.66606005459508633</v>
      </c>
      <c r="AA277" s="181">
        <f t="shared" si="339"/>
        <v>1.7470427661510461</v>
      </c>
      <c r="AB277" s="181">
        <f t="shared" si="364"/>
        <v>0.1328062141535481</v>
      </c>
      <c r="AC277" s="181"/>
      <c r="AD277" s="181">
        <f t="shared" si="341"/>
        <v>0.76065573770491812</v>
      </c>
      <c r="AE277" s="565">
        <f t="shared" si="365"/>
        <v>1659.1854934601665</v>
      </c>
      <c r="AF277" s="548">
        <f t="shared" si="366"/>
        <v>3.8603278688524589E-2</v>
      </c>
      <c r="AH277" s="181">
        <f t="shared" si="367"/>
        <v>0.775426150117285</v>
      </c>
      <c r="AI277" s="181">
        <f t="shared" si="368"/>
        <v>1.0030555555555554</v>
      </c>
      <c r="AJ277" s="181">
        <f t="shared" si="369"/>
        <v>1.7281893004115223</v>
      </c>
      <c r="AL277" s="565">
        <f t="shared" si="370"/>
        <v>183</v>
      </c>
      <c r="AM277" s="474">
        <f t="shared" si="371"/>
        <v>232.41087476870922</v>
      </c>
      <c r="AO277">
        <f t="shared" si="349"/>
        <v>183</v>
      </c>
      <c r="AP277">
        <f t="shared" si="350"/>
        <v>232.41087476870922</v>
      </c>
      <c r="AR277" s="6">
        <f t="shared" si="374"/>
        <v>4.3027246508803882</v>
      </c>
      <c r="AS277" s="6">
        <f t="shared" si="353"/>
        <v>1.6717592592592592</v>
      </c>
      <c r="AT277" s="6">
        <f t="shared" si="354"/>
        <v>2.6309653916211291</v>
      </c>
      <c r="AU277" s="181">
        <f t="shared" si="355"/>
        <v>0.38853503184713378</v>
      </c>
      <c r="CB277" s="583">
        <f t="shared" si="372"/>
        <v>-50</v>
      </c>
    </row>
    <row r="278" spans="5:80" x14ac:dyDescent="0.2">
      <c r="E278" s="178">
        <v>62</v>
      </c>
      <c r="F278" s="225">
        <f t="shared" si="373"/>
        <v>0.186</v>
      </c>
      <c r="G278" s="225">
        <f t="shared" si="356"/>
        <v>0.186</v>
      </c>
      <c r="H278" s="225">
        <f t="shared" si="357"/>
        <v>2.79</v>
      </c>
      <c r="I278" s="225">
        <f t="shared" si="358"/>
        <v>1.488</v>
      </c>
      <c r="J278" s="561">
        <f t="shared" si="324"/>
        <v>24</v>
      </c>
      <c r="K278" s="456">
        <f t="shared" si="325"/>
        <v>15.25</v>
      </c>
      <c r="L278" s="456">
        <f t="shared" si="326"/>
        <v>39.25</v>
      </c>
      <c r="M278" s="456"/>
      <c r="N278" s="225">
        <f t="shared" si="327"/>
        <v>0.38853503184713378</v>
      </c>
      <c r="O278" s="180">
        <f t="shared" si="359"/>
        <v>3.9681251730822482</v>
      </c>
      <c r="P278" s="180">
        <f t="shared" si="360"/>
        <v>3.2450445859872605</v>
      </c>
      <c r="Q278" s="225">
        <f t="shared" si="330"/>
        <v>0.26454167820548319</v>
      </c>
      <c r="R278" s="225">
        <f t="shared" si="361"/>
        <v>0.49601564663528103</v>
      </c>
      <c r="S278" s="225">
        <f t="shared" si="362"/>
        <v>15</v>
      </c>
      <c r="T278" s="225">
        <f t="shared" si="363"/>
        <v>1.0194990892531877</v>
      </c>
      <c r="U278" s="225">
        <f t="shared" si="334"/>
        <v>1.6991651487553128</v>
      </c>
      <c r="V278" s="225">
        <f t="shared" si="335"/>
        <v>2.6740959718116399</v>
      </c>
      <c r="W278" s="205">
        <f t="shared" si="336"/>
        <v>350</v>
      </c>
      <c r="X278" s="456">
        <f t="shared" si="337"/>
        <v>228.66231227243966</v>
      </c>
      <c r="Z278" s="225">
        <f t="shared" si="338"/>
        <v>0.66606005459508633</v>
      </c>
      <c r="AA278" s="181">
        <f t="shared" si="339"/>
        <v>1.7470427661510461</v>
      </c>
      <c r="AB278" s="181">
        <f t="shared" si="364"/>
        <v>0.1328062141535481</v>
      </c>
      <c r="AC278" s="181"/>
      <c r="AD278" s="181">
        <f t="shared" si="341"/>
        <v>0.76065573770491812</v>
      </c>
      <c r="AE278" s="565">
        <f t="shared" si="365"/>
        <v>1686.3852556480381</v>
      </c>
      <c r="AF278" s="548">
        <f t="shared" si="366"/>
        <v>3.8603278688524589E-2</v>
      </c>
      <c r="AH278" s="181">
        <f t="shared" si="367"/>
        <v>0.78175626453700842</v>
      </c>
      <c r="AI278" s="181">
        <f t="shared" si="368"/>
        <v>1.0194990892531877</v>
      </c>
      <c r="AJ278" s="181">
        <f t="shared" si="369"/>
        <v>1.7403696957431019</v>
      </c>
      <c r="AL278" s="565">
        <f t="shared" si="370"/>
        <v>186</v>
      </c>
      <c r="AM278" s="474">
        <f t="shared" si="371"/>
        <v>228.66231227243966</v>
      </c>
      <c r="AO278">
        <f t="shared" si="349"/>
        <v>186</v>
      </c>
      <c r="AP278">
        <f t="shared" si="350"/>
        <v>228.66231227243966</v>
      </c>
      <c r="AR278" s="6">
        <f t="shared" si="374"/>
        <v>4.3732611205669532</v>
      </c>
      <c r="AS278" s="6">
        <f t="shared" si="353"/>
        <v>1.6991651487553128</v>
      </c>
      <c r="AT278" s="6">
        <f t="shared" si="354"/>
        <v>2.6740959718116404</v>
      </c>
      <c r="AU278" s="181">
        <f t="shared" si="355"/>
        <v>0.38853503184713373</v>
      </c>
      <c r="CB278" s="583">
        <f t="shared" si="372"/>
        <v>-50</v>
      </c>
    </row>
    <row r="279" spans="5:80" x14ac:dyDescent="0.2">
      <c r="E279" s="178">
        <v>63</v>
      </c>
      <c r="F279" s="225">
        <f t="shared" si="373"/>
        <v>0.189</v>
      </c>
      <c r="G279" s="225">
        <f t="shared" si="356"/>
        <v>0.189</v>
      </c>
      <c r="H279" s="225">
        <f t="shared" si="357"/>
        <v>2.835</v>
      </c>
      <c r="I279" s="225">
        <f t="shared" si="358"/>
        <v>1.512</v>
      </c>
      <c r="J279" s="561">
        <f t="shared" si="324"/>
        <v>24</v>
      </c>
      <c r="K279" s="456">
        <f t="shared" si="325"/>
        <v>15.25</v>
      </c>
      <c r="L279" s="456">
        <f t="shared" si="326"/>
        <v>39.25</v>
      </c>
      <c r="M279" s="456"/>
      <c r="N279" s="225">
        <f t="shared" si="327"/>
        <v>0.38853503184713378</v>
      </c>
      <c r="O279" s="180">
        <f t="shared" si="359"/>
        <v>3.9681251730822482</v>
      </c>
      <c r="P279" s="180">
        <f t="shared" si="360"/>
        <v>3.2450445859872605</v>
      </c>
      <c r="Q279" s="225">
        <f t="shared" si="330"/>
        <v>0.26454167820548319</v>
      </c>
      <c r="R279" s="225">
        <f t="shared" si="361"/>
        <v>0.49601564663528103</v>
      </c>
      <c r="S279" s="225">
        <f t="shared" si="362"/>
        <v>15</v>
      </c>
      <c r="T279" s="225">
        <f t="shared" si="363"/>
        <v>1.0359426229508195</v>
      </c>
      <c r="U279" s="225">
        <f t="shared" si="334"/>
        <v>1.7265710382513659</v>
      </c>
      <c r="V279" s="225">
        <f t="shared" si="335"/>
        <v>2.7172265520021495</v>
      </c>
      <c r="W279" s="205">
        <f t="shared" si="336"/>
        <v>350</v>
      </c>
      <c r="X279" s="456">
        <f t="shared" si="337"/>
        <v>225.0327517601788</v>
      </c>
      <c r="Z279" s="225">
        <f t="shared" si="338"/>
        <v>0.66606005459508633</v>
      </c>
      <c r="AA279" s="181">
        <f t="shared" si="339"/>
        <v>1.7470427661510461</v>
      </c>
      <c r="AB279" s="181">
        <f t="shared" si="364"/>
        <v>0.1328062141535481</v>
      </c>
      <c r="AC279" s="181"/>
      <c r="AD279" s="181">
        <f t="shared" si="341"/>
        <v>0.76065573770491812</v>
      </c>
      <c r="AE279" s="565">
        <f t="shared" si="365"/>
        <v>1713.5850178359094</v>
      </c>
      <c r="AF279" s="548">
        <f t="shared" si="366"/>
        <v>3.8603278688524589E-2</v>
      </c>
      <c r="AH279" s="181">
        <f t="shared" si="367"/>
        <v>0.78803553219382172</v>
      </c>
      <c r="AI279" s="181">
        <f t="shared" si="368"/>
        <v>1.0359426229508195</v>
      </c>
      <c r="AJ279" s="181">
        <f t="shared" si="369"/>
        <v>1.752550091074681</v>
      </c>
      <c r="AL279" s="565">
        <f t="shared" si="370"/>
        <v>189</v>
      </c>
      <c r="AM279" s="474">
        <f t="shared" si="371"/>
        <v>225.0327517601788</v>
      </c>
      <c r="AO279">
        <f t="shared" si="349"/>
        <v>189</v>
      </c>
      <c r="AP279">
        <f t="shared" si="350"/>
        <v>225.0327517601788</v>
      </c>
      <c r="AR279" s="6">
        <f t="shared" si="374"/>
        <v>4.4437975902535154</v>
      </c>
      <c r="AS279" s="6">
        <f t="shared" si="353"/>
        <v>1.7265710382513659</v>
      </c>
      <c r="AT279" s="6">
        <f t="shared" si="354"/>
        <v>2.7172265520021495</v>
      </c>
      <c r="AU279" s="181">
        <f t="shared" si="355"/>
        <v>0.38853503184713378</v>
      </c>
      <c r="CB279" s="583">
        <f t="shared" si="372"/>
        <v>-50</v>
      </c>
    </row>
    <row r="280" spans="5:80" x14ac:dyDescent="0.2">
      <c r="E280" s="178">
        <v>64</v>
      </c>
      <c r="F280" s="225">
        <f t="shared" si="373"/>
        <v>0.192</v>
      </c>
      <c r="G280" s="225">
        <f t="shared" ref="G280:G316" si="375">IF(PLOT_TYPE=1, E280/100*Iout2, min_I*EXP(Q280*rr/100))</f>
        <v>0.192</v>
      </c>
      <c r="H280" s="225">
        <f t="shared" ref="H280:H316" si="376">F280*Vout</f>
        <v>2.88</v>
      </c>
      <c r="I280" s="225">
        <f t="shared" ref="I280:I316" si="377">Vout2*G280</f>
        <v>1.536</v>
      </c>
      <c r="J280" s="561">
        <f t="shared" ref="J280:J316" si="378">VIN_max</f>
        <v>24</v>
      </c>
      <c r="K280" s="456">
        <f t="shared" ref="K280:K316" si="379">(S280+Vfwd1)*Nps</f>
        <v>15.25</v>
      </c>
      <c r="L280" s="456">
        <f t="shared" ref="L280:L316" si="380">(Vout+Vfwd1)*Nps+J280</f>
        <v>39.25</v>
      </c>
      <c r="M280" s="456"/>
      <c r="N280" s="225">
        <f t="shared" ref="N280:N316" si="381">(Vout+Vfwd1)*Nps/((Vout+Vfwd1)*Nps+J280)</f>
        <v>0.38853503184713378</v>
      </c>
      <c r="O280" s="180">
        <f t="shared" ref="O280:O311" si="382">N280*J280*Isw_max*0.5*Efficiency*Pout/(Pout+Pout2)</f>
        <v>3.9681251730822482</v>
      </c>
      <c r="P280" s="180">
        <f t="shared" ref="P280:P316" si="383">N280*J280*Isw_max*0.5*Efficiency*(Pout2/Pout_total)</f>
        <v>3.2450445859872605</v>
      </c>
      <c r="Q280" s="225">
        <f t="shared" ref="Q280:Q316" si="384">O280/Vout</f>
        <v>0.26454167820548319</v>
      </c>
      <c r="R280" s="225">
        <f t="shared" ref="R280:R316" si="385">O280/Vout2</f>
        <v>0.49601564663528103</v>
      </c>
      <c r="S280" s="225">
        <f t="shared" ref="S280:S316" si="386">MIN(Vout,O280/F280)</f>
        <v>15</v>
      </c>
      <c r="T280" s="225">
        <f t="shared" ref="T280:T316" si="387">MIN(2*(Vout*F280+Vout2*G280)/(Efficiency*J280*N280), Isw_max)</f>
        <v>1.0523861566484518</v>
      </c>
      <c r="U280" s="225">
        <f t="shared" ref="U280:U316" si="388">L*T280/J280*1000000</f>
        <v>1.75397692774742</v>
      </c>
      <c r="V280" s="225">
        <f t="shared" ref="V280:V316" si="389">L*T280/K280*1000000</f>
        <v>2.7603571321926608</v>
      </c>
      <c r="W280" s="205">
        <f t="shared" ref="W280:W316" si="390">IF(1/((350000*L)*(1/J280+1/K280))&gt;Isw_min, 350, 0.001/((Isw_min*L)*(1/J280+1/K280)))</f>
        <v>350</v>
      </c>
      <c r="X280" s="456">
        <f t="shared" ref="X280:X316" si="391">MIN(1/(U280+V280)*1000, 350)</f>
        <v>221.5166150139259</v>
      </c>
      <c r="Z280" s="225">
        <f t="shared" ref="Z280:Z316" si="392">1/((W280*1000*L)*(1/J280+1/K280))</f>
        <v>0.66606005459508633</v>
      </c>
      <c r="AA280" s="181">
        <f t="shared" ref="AA280:AA316" si="393">L*Z280/K280*1000000</f>
        <v>1.7470427661510461</v>
      </c>
      <c r="AB280" s="181">
        <f t="shared" ref="AB280:AB311" si="394">0.5*AA280*Z280*Nps*W280/1000*(Pout/(Pout+Pout2))</f>
        <v>0.1328062141535481</v>
      </c>
      <c r="AC280" s="181"/>
      <c r="AD280" s="181">
        <f t="shared" ref="AD280:AD316" si="395">L*Isw_min/K280*1000000</f>
        <v>0.76065573770491812</v>
      </c>
      <c r="AE280" s="565">
        <f t="shared" ref="AE280:AE311" si="396">MAX(10, F280/(0.5*AD280/1000000*Isw_min*Nps)/1000*Pout_total/Pout)</f>
        <v>1740.7847800237812</v>
      </c>
      <c r="AF280" s="548">
        <f t="shared" ref="AF280:AF316" si="397">0.5*AD280/1000000*Isw_min*Nps*W280*1000*(Pout/Pout_total)</f>
        <v>3.8603278688524589E-2</v>
      </c>
      <c r="AH280" s="181">
        <f t="shared" ref="AH280:AH316" si="398">SQRT((H280+I280)/(0.5*L*Fsw_DCM))</f>
        <v>0.79426515903515671</v>
      </c>
      <c r="AI280" s="181">
        <f t="shared" ref="AI280:AI311" si="399">MAX(IF(F280&gt;AB280,T280,AH280),Isw_min)</f>
        <v>1.0523861566484518</v>
      </c>
      <c r="AJ280" s="181">
        <f t="shared" ref="AJ280:AJ311" si="400">IF(F280&gt;AF280, (AI280-Isw_min)/1.08*0.8+1.2, AE280*0.2/350+1)</f>
        <v>1.7647304864062605</v>
      </c>
      <c r="AL280" s="565">
        <f t="shared" ref="AL280:AL316" si="401">F280*1000</f>
        <v>192</v>
      </c>
      <c r="AM280" s="474">
        <f t="shared" ref="AM280:AM316" si="402">IF(F280&gt;AF280, X280, AE280)</f>
        <v>221.5166150139259</v>
      </c>
      <c r="AO280">
        <f t="shared" ref="AO280:AO316" si="403">IF(H280&gt;O280, "",AL280)</f>
        <v>192</v>
      </c>
      <c r="AP280">
        <f t="shared" ref="AP280:AP316" si="404">IF(H280&gt;O280, "",AM280)</f>
        <v>221.5166150139259</v>
      </c>
      <c r="AR280" s="6">
        <f t="shared" si="374"/>
        <v>4.5143340599400803</v>
      </c>
      <c r="AS280" s="6">
        <f t="shared" si="353"/>
        <v>1.75397692774742</v>
      </c>
      <c r="AT280" s="6">
        <f t="shared" si="354"/>
        <v>2.7603571321926603</v>
      </c>
      <c r="AU280" s="181">
        <f t="shared" si="355"/>
        <v>0.38853503184713384</v>
      </c>
      <c r="CB280" s="583">
        <f t="shared" ref="CB280:CB316" si="405">IF(ABS(F280-Ioutmax_Vinmax)&lt;Iout/200, AM280, -50)</f>
        <v>-50</v>
      </c>
    </row>
    <row r="281" spans="5:80" x14ac:dyDescent="0.2">
      <c r="E281" s="178">
        <v>65</v>
      </c>
      <c r="F281" s="225">
        <f t="shared" ref="F281:F312" si="406">IF(PLOT_TYPE=1, E281/100*Iout_max, min_I*EXP(O281*rr/100))</f>
        <v>0.19500000000000001</v>
      </c>
      <c r="G281" s="225">
        <f t="shared" si="375"/>
        <v>0.19500000000000001</v>
      </c>
      <c r="H281" s="225">
        <f t="shared" si="376"/>
        <v>2.9250000000000003</v>
      </c>
      <c r="I281" s="225">
        <f t="shared" si="377"/>
        <v>1.56</v>
      </c>
      <c r="J281" s="561">
        <f t="shared" si="378"/>
        <v>24</v>
      </c>
      <c r="K281" s="456">
        <f t="shared" si="379"/>
        <v>15.25</v>
      </c>
      <c r="L281" s="456">
        <f t="shared" si="380"/>
        <v>39.25</v>
      </c>
      <c r="M281" s="456"/>
      <c r="N281" s="225">
        <f t="shared" si="381"/>
        <v>0.38853503184713378</v>
      </c>
      <c r="O281" s="180">
        <f t="shared" si="382"/>
        <v>3.9681251730822482</v>
      </c>
      <c r="P281" s="180">
        <f t="shared" si="383"/>
        <v>3.2450445859872605</v>
      </c>
      <c r="Q281" s="225">
        <f t="shared" si="384"/>
        <v>0.26454167820548319</v>
      </c>
      <c r="R281" s="225">
        <f t="shared" si="385"/>
        <v>0.49601564663528103</v>
      </c>
      <c r="S281" s="225">
        <f t="shared" si="386"/>
        <v>15</v>
      </c>
      <c r="T281" s="225">
        <f t="shared" si="387"/>
        <v>1.0688296903460837</v>
      </c>
      <c r="U281" s="225">
        <f t="shared" si="388"/>
        <v>1.7813828172434729</v>
      </c>
      <c r="V281" s="225">
        <f t="shared" si="389"/>
        <v>2.8034877123831703</v>
      </c>
      <c r="W281" s="205">
        <f t="shared" si="390"/>
        <v>350</v>
      </c>
      <c r="X281" s="456">
        <f t="shared" si="391"/>
        <v>218.10866709063478</v>
      </c>
      <c r="Z281" s="225">
        <f t="shared" si="392"/>
        <v>0.66606005459508633</v>
      </c>
      <c r="AA281" s="181">
        <f t="shared" si="393"/>
        <v>1.7470427661510461</v>
      </c>
      <c r="AB281" s="181">
        <f t="shared" si="394"/>
        <v>0.1328062141535481</v>
      </c>
      <c r="AC281" s="181"/>
      <c r="AD281" s="181">
        <f t="shared" si="395"/>
        <v>0.76065573770491812</v>
      </c>
      <c r="AE281" s="565">
        <f t="shared" si="396"/>
        <v>1767.9845422116528</v>
      </c>
      <c r="AF281" s="548">
        <f t="shared" si="397"/>
        <v>3.8603278688524589E-2</v>
      </c>
      <c r="AH281" s="181">
        <f t="shared" si="398"/>
        <v>0.80044630407934647</v>
      </c>
      <c r="AI281" s="181">
        <f t="shared" si="399"/>
        <v>1.0688296903460837</v>
      </c>
      <c r="AJ281" s="181">
        <f t="shared" si="400"/>
        <v>1.7769108817378396</v>
      </c>
      <c r="AL281" s="565">
        <f t="shared" si="401"/>
        <v>195</v>
      </c>
      <c r="AM281" s="474">
        <f t="shared" si="402"/>
        <v>218.10866709063478</v>
      </c>
      <c r="AO281">
        <f t="shared" si="403"/>
        <v>195</v>
      </c>
      <c r="AP281">
        <f t="shared" si="404"/>
        <v>218.10866709063478</v>
      </c>
      <c r="AR281" s="6">
        <f t="shared" si="374"/>
        <v>4.5848705296266434</v>
      </c>
      <c r="AS281" s="6">
        <f t="shared" si="353"/>
        <v>1.7813828172434729</v>
      </c>
      <c r="AT281" s="6">
        <f t="shared" si="354"/>
        <v>2.8034877123831707</v>
      </c>
      <c r="AU281" s="181">
        <f t="shared" si="355"/>
        <v>0.38853503184713378</v>
      </c>
      <c r="CB281" s="583">
        <f t="shared" si="405"/>
        <v>-50</v>
      </c>
    </row>
    <row r="282" spans="5:80" x14ac:dyDescent="0.2">
      <c r="E282" s="178">
        <v>66</v>
      </c>
      <c r="F282" s="225">
        <f t="shared" si="406"/>
        <v>0.19800000000000001</v>
      </c>
      <c r="G282" s="225">
        <f t="shared" si="375"/>
        <v>0.19800000000000001</v>
      </c>
      <c r="H282" s="225">
        <f t="shared" si="376"/>
        <v>2.97</v>
      </c>
      <c r="I282" s="225">
        <f t="shared" si="377"/>
        <v>1.5840000000000001</v>
      </c>
      <c r="J282" s="561">
        <f t="shared" si="378"/>
        <v>24</v>
      </c>
      <c r="K282" s="456">
        <f t="shared" si="379"/>
        <v>15.25</v>
      </c>
      <c r="L282" s="456">
        <f t="shared" si="380"/>
        <v>39.25</v>
      </c>
      <c r="M282" s="456"/>
      <c r="N282" s="225">
        <f t="shared" si="381"/>
        <v>0.38853503184713378</v>
      </c>
      <c r="O282" s="180">
        <f t="shared" si="382"/>
        <v>3.9681251730822482</v>
      </c>
      <c r="P282" s="180">
        <f t="shared" si="383"/>
        <v>3.2450445859872605</v>
      </c>
      <c r="Q282" s="225">
        <f t="shared" si="384"/>
        <v>0.26454167820548319</v>
      </c>
      <c r="R282" s="225">
        <f t="shared" si="385"/>
        <v>0.49601564663528103</v>
      </c>
      <c r="S282" s="225">
        <f t="shared" si="386"/>
        <v>15</v>
      </c>
      <c r="T282" s="225">
        <f t="shared" si="387"/>
        <v>1.0852732240437157</v>
      </c>
      <c r="U282" s="225">
        <f t="shared" si="388"/>
        <v>1.8087887067395263</v>
      </c>
      <c r="V282" s="225">
        <f t="shared" si="389"/>
        <v>2.8466182925736803</v>
      </c>
      <c r="W282" s="205">
        <f t="shared" si="390"/>
        <v>350</v>
      </c>
      <c r="X282" s="456">
        <f t="shared" si="391"/>
        <v>214.80399031653431</v>
      </c>
      <c r="Z282" s="225">
        <f t="shared" si="392"/>
        <v>0.66606005459508633</v>
      </c>
      <c r="AA282" s="181">
        <f t="shared" si="393"/>
        <v>1.7470427661510461</v>
      </c>
      <c r="AB282" s="181">
        <f t="shared" si="394"/>
        <v>0.1328062141535481</v>
      </c>
      <c r="AC282" s="181"/>
      <c r="AD282" s="181">
        <f t="shared" si="395"/>
        <v>0.76065573770491812</v>
      </c>
      <c r="AE282" s="565">
        <f t="shared" si="396"/>
        <v>1795.1843043995243</v>
      </c>
      <c r="AF282" s="548">
        <f t="shared" si="397"/>
        <v>3.8603278688524589E-2</v>
      </c>
      <c r="AH282" s="181">
        <f t="shared" si="398"/>
        <v>0.80658008193323782</v>
      </c>
      <c r="AI282" s="181">
        <f t="shared" si="399"/>
        <v>1.0852732240437157</v>
      </c>
      <c r="AJ282" s="181">
        <f t="shared" si="400"/>
        <v>1.789091277069419</v>
      </c>
      <c r="AL282" s="565">
        <f t="shared" si="401"/>
        <v>198</v>
      </c>
      <c r="AM282" s="474">
        <f t="shared" si="402"/>
        <v>214.80399031653431</v>
      </c>
      <c r="AO282">
        <f t="shared" si="403"/>
        <v>198</v>
      </c>
      <c r="AP282">
        <f t="shared" si="404"/>
        <v>214.80399031653431</v>
      </c>
      <c r="AR282" s="6">
        <f t="shared" si="374"/>
        <v>4.6554069993132057</v>
      </c>
      <c r="AS282" s="6">
        <f t="shared" si="353"/>
        <v>1.8087887067395263</v>
      </c>
      <c r="AT282" s="6">
        <f t="shared" si="354"/>
        <v>2.8466182925736794</v>
      </c>
      <c r="AU282" s="181">
        <f t="shared" si="355"/>
        <v>0.38853503184713389</v>
      </c>
      <c r="CB282" s="583">
        <f t="shared" si="405"/>
        <v>-50</v>
      </c>
    </row>
    <row r="283" spans="5:80" x14ac:dyDescent="0.2">
      <c r="E283" s="178">
        <v>67</v>
      </c>
      <c r="F283" s="225">
        <f t="shared" si="406"/>
        <v>0.20100000000000001</v>
      </c>
      <c r="G283" s="225">
        <f t="shared" si="375"/>
        <v>0.20100000000000001</v>
      </c>
      <c r="H283" s="225">
        <f t="shared" si="376"/>
        <v>3.0150000000000001</v>
      </c>
      <c r="I283" s="225">
        <f t="shared" si="377"/>
        <v>1.6080000000000001</v>
      </c>
      <c r="J283" s="561">
        <f t="shared" si="378"/>
        <v>24</v>
      </c>
      <c r="K283" s="456">
        <f t="shared" si="379"/>
        <v>15.25</v>
      </c>
      <c r="L283" s="456">
        <f t="shared" si="380"/>
        <v>39.25</v>
      </c>
      <c r="M283" s="456"/>
      <c r="N283" s="225">
        <f t="shared" si="381"/>
        <v>0.38853503184713378</v>
      </c>
      <c r="O283" s="180">
        <f t="shared" si="382"/>
        <v>3.9681251730822482</v>
      </c>
      <c r="P283" s="180">
        <f t="shared" si="383"/>
        <v>3.2450445859872605</v>
      </c>
      <c r="Q283" s="225">
        <f t="shared" si="384"/>
        <v>0.26454167820548319</v>
      </c>
      <c r="R283" s="225">
        <f t="shared" si="385"/>
        <v>0.49601564663528103</v>
      </c>
      <c r="S283" s="225">
        <f t="shared" si="386"/>
        <v>15</v>
      </c>
      <c r="T283" s="225">
        <f t="shared" si="387"/>
        <v>1.1017167577413478</v>
      </c>
      <c r="U283" s="225">
        <f t="shared" si="388"/>
        <v>1.8361945962355799</v>
      </c>
      <c r="V283" s="225">
        <f t="shared" si="389"/>
        <v>2.8897488727641911</v>
      </c>
      <c r="W283" s="205">
        <f t="shared" si="390"/>
        <v>350</v>
      </c>
      <c r="X283" s="456">
        <f t="shared" si="391"/>
        <v>211.59796061031733</v>
      </c>
      <c r="Z283" s="225">
        <f t="shared" si="392"/>
        <v>0.66606005459508633</v>
      </c>
      <c r="AA283" s="181">
        <f t="shared" si="393"/>
        <v>1.7470427661510461</v>
      </c>
      <c r="AB283" s="181">
        <f t="shared" si="394"/>
        <v>0.1328062141535481</v>
      </c>
      <c r="AC283" s="181"/>
      <c r="AD283" s="181">
        <f t="shared" si="395"/>
        <v>0.76065573770491812</v>
      </c>
      <c r="AE283" s="565">
        <f t="shared" si="396"/>
        <v>1822.3840665873956</v>
      </c>
      <c r="AF283" s="548">
        <f t="shared" si="397"/>
        <v>3.8603278688524589E-2</v>
      </c>
      <c r="AH283" s="181">
        <f t="shared" si="398"/>
        <v>0.81266756513876659</v>
      </c>
      <c r="AI283" s="181">
        <f t="shared" si="399"/>
        <v>1.1017167577413478</v>
      </c>
      <c r="AJ283" s="181">
        <f t="shared" si="400"/>
        <v>1.8012716724009983</v>
      </c>
      <c r="AL283" s="565">
        <f t="shared" si="401"/>
        <v>201</v>
      </c>
      <c r="AM283" s="474">
        <f t="shared" si="402"/>
        <v>211.59796061031733</v>
      </c>
      <c r="AO283">
        <f t="shared" si="403"/>
        <v>201</v>
      </c>
      <c r="AP283">
        <f t="shared" si="404"/>
        <v>211.59796061031733</v>
      </c>
      <c r="AR283" s="6">
        <f t="shared" si="374"/>
        <v>4.7259434689997715</v>
      </c>
      <c r="AS283" s="6">
        <f t="shared" si="353"/>
        <v>1.8361945962355799</v>
      </c>
      <c r="AT283" s="6">
        <f t="shared" si="354"/>
        <v>2.8897488727641916</v>
      </c>
      <c r="AU283" s="181">
        <f t="shared" si="355"/>
        <v>0.38853503184713373</v>
      </c>
      <c r="CB283" s="583">
        <f t="shared" si="405"/>
        <v>-50</v>
      </c>
    </row>
    <row r="284" spans="5:80" x14ac:dyDescent="0.2">
      <c r="E284" s="178">
        <v>68</v>
      </c>
      <c r="F284" s="225">
        <f t="shared" si="406"/>
        <v>0.20400000000000001</v>
      </c>
      <c r="G284" s="225">
        <f t="shared" si="375"/>
        <v>0.20400000000000001</v>
      </c>
      <c r="H284" s="225">
        <f t="shared" si="376"/>
        <v>3.06</v>
      </c>
      <c r="I284" s="225">
        <f t="shared" si="377"/>
        <v>1.6320000000000001</v>
      </c>
      <c r="J284" s="561">
        <f t="shared" si="378"/>
        <v>24</v>
      </c>
      <c r="K284" s="456">
        <f t="shared" si="379"/>
        <v>15.25</v>
      </c>
      <c r="L284" s="456">
        <f t="shared" si="380"/>
        <v>39.25</v>
      </c>
      <c r="M284" s="456"/>
      <c r="N284" s="225">
        <f t="shared" si="381"/>
        <v>0.38853503184713378</v>
      </c>
      <c r="O284" s="180">
        <f t="shared" si="382"/>
        <v>3.9681251730822482</v>
      </c>
      <c r="P284" s="180">
        <f t="shared" si="383"/>
        <v>3.2450445859872605</v>
      </c>
      <c r="Q284" s="225">
        <f t="shared" si="384"/>
        <v>0.26454167820548319</v>
      </c>
      <c r="R284" s="225">
        <f t="shared" si="385"/>
        <v>0.49601564663528103</v>
      </c>
      <c r="S284" s="225">
        <f t="shared" si="386"/>
        <v>15</v>
      </c>
      <c r="T284" s="225">
        <f t="shared" si="387"/>
        <v>1.1181602914389799</v>
      </c>
      <c r="U284" s="225">
        <f t="shared" si="388"/>
        <v>1.8636004857316333</v>
      </c>
      <c r="V284" s="225">
        <f t="shared" si="389"/>
        <v>2.9328794529547015</v>
      </c>
      <c r="W284" s="205">
        <f t="shared" si="390"/>
        <v>350</v>
      </c>
      <c r="X284" s="456">
        <f t="shared" si="391"/>
        <v>208.48622589545974</v>
      </c>
      <c r="Z284" s="225">
        <f t="shared" si="392"/>
        <v>0.66606005459508633</v>
      </c>
      <c r="AA284" s="181">
        <f t="shared" si="393"/>
        <v>1.7470427661510461</v>
      </c>
      <c r="AB284" s="181">
        <f t="shared" si="394"/>
        <v>0.1328062141535481</v>
      </c>
      <c r="AC284" s="181"/>
      <c r="AD284" s="181">
        <f t="shared" si="395"/>
        <v>0.76065573770491812</v>
      </c>
      <c r="AE284" s="565">
        <f t="shared" si="396"/>
        <v>1849.5838287752676</v>
      </c>
      <c r="AF284" s="548">
        <f t="shared" si="397"/>
        <v>3.8603278688524589E-2</v>
      </c>
      <c r="AH284" s="181">
        <f t="shared" si="398"/>
        <v>0.81870978636249014</v>
      </c>
      <c r="AI284" s="181">
        <f t="shared" si="399"/>
        <v>1.1181602914389799</v>
      </c>
      <c r="AJ284" s="181">
        <f t="shared" si="400"/>
        <v>1.8134520677325776</v>
      </c>
      <c r="AL284" s="565">
        <f t="shared" si="401"/>
        <v>204.00000000000003</v>
      </c>
      <c r="AM284" s="474">
        <f t="shared" si="402"/>
        <v>208.48622589545974</v>
      </c>
      <c r="AO284">
        <f t="shared" si="403"/>
        <v>204.00000000000003</v>
      </c>
      <c r="AP284">
        <f t="shared" si="404"/>
        <v>208.48622589545974</v>
      </c>
      <c r="AR284" s="6">
        <f t="shared" si="374"/>
        <v>4.7964799386863346</v>
      </c>
      <c r="AS284" s="6">
        <f t="shared" si="353"/>
        <v>1.8636004857316333</v>
      </c>
      <c r="AT284" s="6">
        <f t="shared" si="354"/>
        <v>2.9328794529547011</v>
      </c>
      <c r="AU284" s="181">
        <f t="shared" si="355"/>
        <v>0.38853503184713378</v>
      </c>
      <c r="CB284" s="583">
        <f t="shared" si="405"/>
        <v>-50</v>
      </c>
    </row>
    <row r="285" spans="5:80" x14ac:dyDescent="0.2">
      <c r="E285" s="178">
        <v>69</v>
      </c>
      <c r="F285" s="225">
        <f t="shared" si="406"/>
        <v>0.20699999999999999</v>
      </c>
      <c r="G285" s="225">
        <f t="shared" si="375"/>
        <v>0.20699999999999999</v>
      </c>
      <c r="H285" s="225">
        <f t="shared" si="376"/>
        <v>3.105</v>
      </c>
      <c r="I285" s="225">
        <f t="shared" si="377"/>
        <v>1.6559999999999999</v>
      </c>
      <c r="J285" s="561">
        <f t="shared" si="378"/>
        <v>24</v>
      </c>
      <c r="K285" s="456">
        <f t="shared" si="379"/>
        <v>15.25</v>
      </c>
      <c r="L285" s="456">
        <f t="shared" si="380"/>
        <v>39.25</v>
      </c>
      <c r="M285" s="456"/>
      <c r="N285" s="225">
        <f t="shared" si="381"/>
        <v>0.38853503184713378</v>
      </c>
      <c r="O285" s="180">
        <f t="shared" si="382"/>
        <v>3.9681251730822482</v>
      </c>
      <c r="P285" s="180">
        <f t="shared" si="383"/>
        <v>3.2450445859872605</v>
      </c>
      <c r="Q285" s="225">
        <f t="shared" si="384"/>
        <v>0.26454167820548319</v>
      </c>
      <c r="R285" s="225">
        <f t="shared" si="385"/>
        <v>0.49601564663528103</v>
      </c>
      <c r="S285" s="225">
        <f t="shared" si="386"/>
        <v>15</v>
      </c>
      <c r="T285" s="225">
        <f t="shared" si="387"/>
        <v>1.134603825136612</v>
      </c>
      <c r="U285" s="225">
        <f t="shared" si="388"/>
        <v>1.8910063752276869</v>
      </c>
      <c r="V285" s="225">
        <f t="shared" si="389"/>
        <v>2.9760100331452124</v>
      </c>
      <c r="W285" s="205">
        <f t="shared" si="390"/>
        <v>350</v>
      </c>
      <c r="X285" s="456">
        <f t="shared" si="391"/>
        <v>205.4646863897284</v>
      </c>
      <c r="Z285" s="225">
        <f t="shared" si="392"/>
        <v>0.66606005459508633</v>
      </c>
      <c r="AA285" s="181">
        <f t="shared" si="393"/>
        <v>1.7470427661510461</v>
      </c>
      <c r="AB285" s="181">
        <f t="shared" si="394"/>
        <v>0.1328062141535481</v>
      </c>
      <c r="AC285" s="181"/>
      <c r="AD285" s="181">
        <f t="shared" si="395"/>
        <v>0.76065573770491812</v>
      </c>
      <c r="AE285" s="565">
        <f t="shared" si="396"/>
        <v>1876.783590963139</v>
      </c>
      <c r="AF285" s="548">
        <f t="shared" si="397"/>
        <v>3.8603278688524589E-2</v>
      </c>
      <c r="AH285" s="181">
        <f t="shared" si="398"/>
        <v>0.82470774044073158</v>
      </c>
      <c r="AI285" s="181">
        <f t="shared" si="399"/>
        <v>1.134603825136612</v>
      </c>
      <c r="AJ285" s="181">
        <f t="shared" si="400"/>
        <v>1.8256324630641569</v>
      </c>
      <c r="AL285" s="565">
        <f t="shared" si="401"/>
        <v>207</v>
      </c>
      <c r="AM285" s="474">
        <f t="shared" si="402"/>
        <v>205.4646863897284</v>
      </c>
      <c r="AO285">
        <f t="shared" si="403"/>
        <v>207</v>
      </c>
      <c r="AP285">
        <f t="shared" si="404"/>
        <v>205.4646863897284</v>
      </c>
      <c r="AR285" s="6">
        <f t="shared" si="374"/>
        <v>4.8670164083728986</v>
      </c>
      <c r="AS285" s="6">
        <f t="shared" si="353"/>
        <v>1.8910063752276869</v>
      </c>
      <c r="AT285" s="6">
        <f t="shared" si="354"/>
        <v>2.9760100331452115</v>
      </c>
      <c r="AU285" s="181">
        <f t="shared" si="355"/>
        <v>0.38853503184713378</v>
      </c>
      <c r="CB285" s="583">
        <f t="shared" si="405"/>
        <v>-50</v>
      </c>
    </row>
    <row r="286" spans="5:80" x14ac:dyDescent="0.2">
      <c r="E286" s="178">
        <v>70</v>
      </c>
      <c r="F286" s="225">
        <f t="shared" si="406"/>
        <v>0.21</v>
      </c>
      <c r="G286" s="225">
        <f t="shared" si="375"/>
        <v>0.21</v>
      </c>
      <c r="H286" s="225">
        <f t="shared" si="376"/>
        <v>3.15</v>
      </c>
      <c r="I286" s="225">
        <f t="shared" si="377"/>
        <v>1.68</v>
      </c>
      <c r="J286" s="561">
        <f t="shared" si="378"/>
        <v>24</v>
      </c>
      <c r="K286" s="456">
        <f t="shared" si="379"/>
        <v>15.25</v>
      </c>
      <c r="L286" s="456">
        <f t="shared" si="380"/>
        <v>39.25</v>
      </c>
      <c r="M286" s="456"/>
      <c r="N286" s="225">
        <f t="shared" si="381"/>
        <v>0.38853503184713378</v>
      </c>
      <c r="O286" s="180">
        <f t="shared" si="382"/>
        <v>3.9681251730822482</v>
      </c>
      <c r="P286" s="180">
        <f t="shared" si="383"/>
        <v>3.2450445859872605</v>
      </c>
      <c r="Q286" s="225">
        <f t="shared" si="384"/>
        <v>0.26454167820548319</v>
      </c>
      <c r="R286" s="225">
        <f t="shared" si="385"/>
        <v>0.49601564663528103</v>
      </c>
      <c r="S286" s="225">
        <f t="shared" si="386"/>
        <v>15</v>
      </c>
      <c r="T286" s="225">
        <f t="shared" si="387"/>
        <v>1.151047358834244</v>
      </c>
      <c r="U286" s="225">
        <f t="shared" si="388"/>
        <v>1.9184122647237403</v>
      </c>
      <c r="V286" s="225">
        <f t="shared" si="389"/>
        <v>3.0191406133357224</v>
      </c>
      <c r="W286" s="205">
        <f t="shared" si="390"/>
        <v>350</v>
      </c>
      <c r="X286" s="456">
        <f t="shared" si="391"/>
        <v>202.52947658416088</v>
      </c>
      <c r="Z286" s="225">
        <f t="shared" si="392"/>
        <v>0.66606005459508633</v>
      </c>
      <c r="AA286" s="181">
        <f t="shared" si="393"/>
        <v>1.7470427661510461</v>
      </c>
      <c r="AB286" s="181">
        <f t="shared" si="394"/>
        <v>0.1328062141535481</v>
      </c>
      <c r="AC286" s="181"/>
      <c r="AD286" s="181">
        <f t="shared" si="395"/>
        <v>0.76065573770491812</v>
      </c>
      <c r="AE286" s="565">
        <f t="shared" si="396"/>
        <v>1903.9833531510105</v>
      </c>
      <c r="AF286" s="548">
        <f t="shared" si="397"/>
        <v>3.8603278688524589E-2</v>
      </c>
      <c r="AH286" s="181">
        <f t="shared" si="398"/>
        <v>0.83066238629180744</v>
      </c>
      <c r="AI286" s="181">
        <f t="shared" si="399"/>
        <v>1.151047358834244</v>
      </c>
      <c r="AJ286" s="181">
        <f t="shared" si="400"/>
        <v>1.8378128583957363</v>
      </c>
      <c r="AL286" s="565">
        <f t="shared" si="401"/>
        <v>210</v>
      </c>
      <c r="AM286" s="474">
        <f t="shared" si="402"/>
        <v>202.52947658416088</v>
      </c>
      <c r="AO286">
        <f t="shared" si="403"/>
        <v>210</v>
      </c>
      <c r="AP286">
        <f t="shared" si="404"/>
        <v>202.52947658416088</v>
      </c>
      <c r="AR286" s="6">
        <f t="shared" si="374"/>
        <v>4.9375528780594626</v>
      </c>
      <c r="AS286" s="6">
        <f t="shared" si="353"/>
        <v>1.9184122647237403</v>
      </c>
      <c r="AT286" s="6">
        <f t="shared" si="354"/>
        <v>3.0191406133357224</v>
      </c>
      <c r="AU286" s="181">
        <f t="shared" si="355"/>
        <v>0.38853503184713378</v>
      </c>
      <c r="CB286" s="583">
        <f t="shared" si="405"/>
        <v>-50</v>
      </c>
    </row>
    <row r="287" spans="5:80" x14ac:dyDescent="0.2">
      <c r="E287" s="178">
        <v>71</v>
      </c>
      <c r="F287" s="225">
        <f t="shared" si="406"/>
        <v>0.21299999999999999</v>
      </c>
      <c r="G287" s="225">
        <f t="shared" si="375"/>
        <v>0.21299999999999999</v>
      </c>
      <c r="H287" s="225">
        <f t="shared" si="376"/>
        <v>3.1949999999999998</v>
      </c>
      <c r="I287" s="225">
        <f t="shared" si="377"/>
        <v>1.704</v>
      </c>
      <c r="J287" s="561">
        <f t="shared" si="378"/>
        <v>24</v>
      </c>
      <c r="K287" s="456">
        <f t="shared" si="379"/>
        <v>15.25</v>
      </c>
      <c r="L287" s="456">
        <f t="shared" si="380"/>
        <v>39.25</v>
      </c>
      <c r="M287" s="456"/>
      <c r="N287" s="225">
        <f t="shared" si="381"/>
        <v>0.38853503184713378</v>
      </c>
      <c r="O287" s="180">
        <f t="shared" si="382"/>
        <v>3.9681251730822482</v>
      </c>
      <c r="P287" s="180">
        <f t="shared" si="383"/>
        <v>3.2450445859872605</v>
      </c>
      <c r="Q287" s="225">
        <f t="shared" si="384"/>
        <v>0.26454167820548319</v>
      </c>
      <c r="R287" s="225">
        <f t="shared" si="385"/>
        <v>0.49601564663528103</v>
      </c>
      <c r="S287" s="225">
        <f t="shared" si="386"/>
        <v>15</v>
      </c>
      <c r="T287" s="225">
        <f t="shared" si="387"/>
        <v>1.1674908925318761</v>
      </c>
      <c r="U287" s="225">
        <f t="shared" si="388"/>
        <v>1.9458181542197936</v>
      </c>
      <c r="V287" s="225">
        <f t="shared" si="389"/>
        <v>3.0622711935262328</v>
      </c>
      <c r="W287" s="205">
        <f t="shared" si="390"/>
        <v>350</v>
      </c>
      <c r="X287" s="456">
        <f t="shared" si="391"/>
        <v>199.67694874494731</v>
      </c>
      <c r="Z287" s="225">
        <f t="shared" si="392"/>
        <v>0.66606005459508633</v>
      </c>
      <c r="AA287" s="181">
        <f t="shared" si="393"/>
        <v>1.7470427661510461</v>
      </c>
      <c r="AB287" s="181">
        <f t="shared" si="394"/>
        <v>0.1328062141535481</v>
      </c>
      <c r="AC287" s="181"/>
      <c r="AD287" s="181">
        <f t="shared" si="395"/>
        <v>0.76065573770491812</v>
      </c>
      <c r="AE287" s="565">
        <f t="shared" si="396"/>
        <v>1931.1831153388821</v>
      </c>
      <c r="AF287" s="548">
        <f t="shared" si="397"/>
        <v>3.8603278688524589E-2</v>
      </c>
      <c r="AH287" s="181">
        <f t="shared" si="398"/>
        <v>0.83657464870574627</v>
      </c>
      <c r="AI287" s="181">
        <f t="shared" si="399"/>
        <v>1.1674908925318761</v>
      </c>
      <c r="AJ287" s="181">
        <f t="shared" si="400"/>
        <v>1.8499932537273156</v>
      </c>
      <c r="AL287" s="565">
        <f t="shared" si="401"/>
        <v>213</v>
      </c>
      <c r="AM287" s="474">
        <f t="shared" si="402"/>
        <v>199.67694874494731</v>
      </c>
      <c r="AO287">
        <f t="shared" si="403"/>
        <v>213</v>
      </c>
      <c r="AP287">
        <f t="shared" si="404"/>
        <v>199.67694874494731</v>
      </c>
      <c r="AR287" s="6">
        <f t="shared" si="374"/>
        <v>5.0080893477460267</v>
      </c>
      <c r="AS287" s="6">
        <f t="shared" si="353"/>
        <v>1.9458181542197936</v>
      </c>
      <c r="AT287" s="6">
        <f t="shared" si="354"/>
        <v>3.0622711935262332</v>
      </c>
      <c r="AU287" s="181">
        <f t="shared" si="355"/>
        <v>0.38853503184713373</v>
      </c>
      <c r="CB287" s="583">
        <f t="shared" si="405"/>
        <v>-50</v>
      </c>
    </row>
    <row r="288" spans="5:80" x14ac:dyDescent="0.2">
      <c r="E288" s="178">
        <v>72</v>
      </c>
      <c r="F288" s="225">
        <f t="shared" si="406"/>
        <v>0.216</v>
      </c>
      <c r="G288" s="225">
        <f t="shared" si="375"/>
        <v>0.216</v>
      </c>
      <c r="H288" s="225">
        <f t="shared" si="376"/>
        <v>3.2399999999999998</v>
      </c>
      <c r="I288" s="225">
        <f t="shared" si="377"/>
        <v>1.728</v>
      </c>
      <c r="J288" s="561">
        <f t="shared" si="378"/>
        <v>24</v>
      </c>
      <c r="K288" s="456">
        <f t="shared" si="379"/>
        <v>15.25</v>
      </c>
      <c r="L288" s="456">
        <f t="shared" si="380"/>
        <v>39.25</v>
      </c>
      <c r="M288" s="456"/>
      <c r="N288" s="225">
        <f t="shared" si="381"/>
        <v>0.38853503184713378</v>
      </c>
      <c r="O288" s="180">
        <f t="shared" si="382"/>
        <v>3.9681251730822482</v>
      </c>
      <c r="P288" s="180">
        <f t="shared" si="383"/>
        <v>3.2450445859872605</v>
      </c>
      <c r="Q288" s="225">
        <f t="shared" si="384"/>
        <v>0.26454167820548319</v>
      </c>
      <c r="R288" s="225">
        <f t="shared" si="385"/>
        <v>0.49601564663528103</v>
      </c>
      <c r="S288" s="225">
        <f t="shared" si="386"/>
        <v>15</v>
      </c>
      <c r="T288" s="225">
        <f t="shared" si="387"/>
        <v>1.1839344262295082</v>
      </c>
      <c r="U288" s="225">
        <f t="shared" si="388"/>
        <v>1.973224043715847</v>
      </c>
      <c r="V288" s="225">
        <f t="shared" si="389"/>
        <v>3.1054017737167432</v>
      </c>
      <c r="W288" s="205">
        <f t="shared" si="390"/>
        <v>350</v>
      </c>
      <c r="X288" s="456">
        <f t="shared" si="391"/>
        <v>196.90365779015639</v>
      </c>
      <c r="Z288" s="225">
        <f t="shared" si="392"/>
        <v>0.66606005459508633</v>
      </c>
      <c r="AA288" s="181">
        <f t="shared" si="393"/>
        <v>1.7470427661510461</v>
      </c>
      <c r="AB288" s="181">
        <f t="shared" si="394"/>
        <v>0.1328062141535481</v>
      </c>
      <c r="AC288" s="181"/>
      <c r="AD288" s="181">
        <f t="shared" si="395"/>
        <v>0.76065573770491812</v>
      </c>
      <c r="AE288" s="565">
        <f t="shared" si="396"/>
        <v>1958.3828775267539</v>
      </c>
      <c r="AF288" s="548">
        <f t="shared" si="397"/>
        <v>3.8603278688524589E-2</v>
      </c>
      <c r="AH288" s="181">
        <f t="shared" si="398"/>
        <v>0.84244542002095635</v>
      </c>
      <c r="AI288" s="181">
        <f t="shared" si="399"/>
        <v>1.1839344262295082</v>
      </c>
      <c r="AJ288" s="181">
        <f t="shared" si="400"/>
        <v>1.8621736490588949</v>
      </c>
      <c r="AL288" s="565">
        <f t="shared" si="401"/>
        <v>216</v>
      </c>
      <c r="AM288" s="474">
        <f t="shared" si="402"/>
        <v>196.90365779015639</v>
      </c>
      <c r="AO288">
        <f t="shared" si="403"/>
        <v>216</v>
      </c>
      <c r="AP288">
        <f t="shared" si="404"/>
        <v>196.90365779015639</v>
      </c>
      <c r="AR288" s="6">
        <f t="shared" si="374"/>
        <v>5.0786258174325898</v>
      </c>
      <c r="AS288" s="6">
        <f t="shared" si="353"/>
        <v>1.973224043715847</v>
      </c>
      <c r="AT288" s="6">
        <f t="shared" si="354"/>
        <v>3.1054017737167428</v>
      </c>
      <c r="AU288" s="181">
        <f t="shared" si="355"/>
        <v>0.38853503184713378</v>
      </c>
      <c r="CB288" s="583">
        <f t="shared" si="405"/>
        <v>-50</v>
      </c>
    </row>
    <row r="289" spans="5:80" x14ac:dyDescent="0.2">
      <c r="E289" s="178">
        <v>73</v>
      </c>
      <c r="F289" s="225">
        <f t="shared" si="406"/>
        <v>0.219</v>
      </c>
      <c r="G289" s="225">
        <f t="shared" si="375"/>
        <v>0.219</v>
      </c>
      <c r="H289" s="225">
        <f t="shared" si="376"/>
        <v>3.2850000000000001</v>
      </c>
      <c r="I289" s="225">
        <f t="shared" si="377"/>
        <v>1.752</v>
      </c>
      <c r="J289" s="561">
        <f t="shared" si="378"/>
        <v>24</v>
      </c>
      <c r="K289" s="456">
        <f t="shared" si="379"/>
        <v>15.25</v>
      </c>
      <c r="L289" s="456">
        <f t="shared" si="380"/>
        <v>39.25</v>
      </c>
      <c r="M289" s="456"/>
      <c r="N289" s="225">
        <f t="shared" si="381"/>
        <v>0.38853503184713378</v>
      </c>
      <c r="O289" s="180">
        <f t="shared" si="382"/>
        <v>3.9681251730822482</v>
      </c>
      <c r="P289" s="180">
        <f t="shared" si="383"/>
        <v>3.2450445859872605</v>
      </c>
      <c r="Q289" s="225">
        <f t="shared" si="384"/>
        <v>0.26454167820548319</v>
      </c>
      <c r="R289" s="225">
        <f t="shared" si="385"/>
        <v>0.49601564663528103</v>
      </c>
      <c r="S289" s="225">
        <f t="shared" si="386"/>
        <v>15</v>
      </c>
      <c r="T289" s="225">
        <f t="shared" si="387"/>
        <v>1.20037795992714</v>
      </c>
      <c r="U289" s="225">
        <f t="shared" si="388"/>
        <v>2.0006299332119002</v>
      </c>
      <c r="V289" s="225">
        <f t="shared" si="389"/>
        <v>3.1485323539072527</v>
      </c>
      <c r="W289" s="205">
        <f t="shared" si="390"/>
        <v>350</v>
      </c>
      <c r="X289" s="456">
        <f t="shared" si="391"/>
        <v>194.20634740946934</v>
      </c>
      <c r="Z289" s="225">
        <f t="shared" si="392"/>
        <v>0.66606005459508633</v>
      </c>
      <c r="AA289" s="181">
        <f t="shared" si="393"/>
        <v>1.7470427661510461</v>
      </c>
      <c r="AB289" s="181">
        <f t="shared" si="394"/>
        <v>0.1328062141535481</v>
      </c>
      <c r="AC289" s="181"/>
      <c r="AD289" s="181">
        <f t="shared" si="395"/>
        <v>0.76065573770491812</v>
      </c>
      <c r="AE289" s="565">
        <f t="shared" si="396"/>
        <v>1985.5826397146254</v>
      </c>
      <c r="AF289" s="548">
        <f t="shared" si="397"/>
        <v>3.8603278688524589E-2</v>
      </c>
      <c r="AH289" s="181">
        <f t="shared" si="398"/>
        <v>0.84827556169645035</v>
      </c>
      <c r="AI289" s="181">
        <f t="shared" si="399"/>
        <v>1.20037795992714</v>
      </c>
      <c r="AJ289" s="181">
        <f t="shared" si="400"/>
        <v>1.874354044390474</v>
      </c>
      <c r="AL289" s="565">
        <f t="shared" si="401"/>
        <v>219</v>
      </c>
      <c r="AM289" s="474">
        <f t="shared" si="402"/>
        <v>194.20634740946934</v>
      </c>
      <c r="AO289">
        <f t="shared" si="403"/>
        <v>219</v>
      </c>
      <c r="AP289">
        <f t="shared" si="404"/>
        <v>194.20634740946934</v>
      </c>
      <c r="AR289" s="6">
        <f t="shared" si="374"/>
        <v>5.1491622871191529</v>
      </c>
      <c r="AS289" s="6">
        <f t="shared" si="353"/>
        <v>2.0006299332119002</v>
      </c>
      <c r="AT289" s="6">
        <f t="shared" si="354"/>
        <v>3.1485323539072527</v>
      </c>
      <c r="AU289" s="181">
        <f t="shared" si="355"/>
        <v>0.38853503184713378</v>
      </c>
      <c r="CB289" s="583">
        <f t="shared" si="405"/>
        <v>-50</v>
      </c>
    </row>
    <row r="290" spans="5:80" x14ac:dyDescent="0.2">
      <c r="E290" s="178">
        <v>74</v>
      </c>
      <c r="F290" s="225">
        <f t="shared" si="406"/>
        <v>0.222</v>
      </c>
      <c r="G290" s="225">
        <f t="shared" si="375"/>
        <v>0.222</v>
      </c>
      <c r="H290" s="225">
        <f t="shared" si="376"/>
        <v>3.33</v>
      </c>
      <c r="I290" s="225">
        <f t="shared" si="377"/>
        <v>1.776</v>
      </c>
      <c r="J290" s="561">
        <f t="shared" si="378"/>
        <v>24</v>
      </c>
      <c r="K290" s="456">
        <f t="shared" si="379"/>
        <v>15.25</v>
      </c>
      <c r="L290" s="456">
        <f t="shared" si="380"/>
        <v>39.25</v>
      </c>
      <c r="M290" s="456"/>
      <c r="N290" s="225">
        <f t="shared" si="381"/>
        <v>0.38853503184713378</v>
      </c>
      <c r="O290" s="180">
        <f t="shared" si="382"/>
        <v>3.9681251730822482</v>
      </c>
      <c r="P290" s="180">
        <f t="shared" si="383"/>
        <v>3.2450445859872605</v>
      </c>
      <c r="Q290" s="225">
        <f t="shared" si="384"/>
        <v>0.26454167820548319</v>
      </c>
      <c r="R290" s="225">
        <f t="shared" si="385"/>
        <v>0.49601564663528103</v>
      </c>
      <c r="S290" s="225">
        <f t="shared" si="386"/>
        <v>15</v>
      </c>
      <c r="T290" s="225">
        <f t="shared" si="387"/>
        <v>1.2168214936247721</v>
      </c>
      <c r="U290" s="225">
        <f t="shared" si="388"/>
        <v>2.0280358227079534</v>
      </c>
      <c r="V290" s="225">
        <f t="shared" si="389"/>
        <v>3.1916629340977631</v>
      </c>
      <c r="W290" s="205">
        <f t="shared" si="390"/>
        <v>350</v>
      </c>
      <c r="X290" s="456">
        <f t="shared" si="391"/>
        <v>191.58193730934141</v>
      </c>
      <c r="Z290" s="225">
        <f t="shared" si="392"/>
        <v>0.66606005459508633</v>
      </c>
      <c r="AA290" s="181">
        <f t="shared" si="393"/>
        <v>1.7470427661510461</v>
      </c>
      <c r="AB290" s="181">
        <f t="shared" si="394"/>
        <v>0.1328062141535481</v>
      </c>
      <c r="AC290" s="181"/>
      <c r="AD290" s="181">
        <f t="shared" si="395"/>
        <v>0.76065573770491812</v>
      </c>
      <c r="AE290" s="565">
        <f t="shared" si="396"/>
        <v>2012.7824019024968</v>
      </c>
      <c r="AF290" s="548">
        <f t="shared" si="397"/>
        <v>3.8603278688524589E-2</v>
      </c>
      <c r="AH290" s="181">
        <f t="shared" si="398"/>
        <v>0.85406590578746988</v>
      </c>
      <c r="AI290" s="181">
        <f t="shared" si="399"/>
        <v>1.2168214936247721</v>
      </c>
      <c r="AJ290" s="181">
        <f t="shared" si="400"/>
        <v>1.8865344397220534</v>
      </c>
      <c r="AL290" s="565">
        <f t="shared" si="401"/>
        <v>222</v>
      </c>
      <c r="AM290" s="474">
        <f t="shared" si="402"/>
        <v>191.58193730934141</v>
      </c>
      <c r="AO290">
        <f t="shared" si="403"/>
        <v>222</v>
      </c>
      <c r="AP290">
        <f t="shared" si="404"/>
        <v>191.58193730934141</v>
      </c>
      <c r="AR290" s="6">
        <f t="shared" si="374"/>
        <v>5.219698756805716</v>
      </c>
      <c r="AS290" s="6">
        <f t="shared" si="353"/>
        <v>2.0280358227079534</v>
      </c>
      <c r="AT290" s="6">
        <f t="shared" si="354"/>
        <v>3.1916629340977627</v>
      </c>
      <c r="AU290" s="181">
        <f t="shared" si="355"/>
        <v>0.38853503184713373</v>
      </c>
      <c r="CB290" s="583">
        <f t="shared" si="405"/>
        <v>-50</v>
      </c>
    </row>
    <row r="291" spans="5:80" x14ac:dyDescent="0.2">
      <c r="E291" s="178">
        <v>75</v>
      </c>
      <c r="F291" s="225">
        <f t="shared" si="406"/>
        <v>0.22499999999999998</v>
      </c>
      <c r="G291" s="225">
        <f t="shared" si="375"/>
        <v>0.22499999999999998</v>
      </c>
      <c r="H291" s="225">
        <f t="shared" si="376"/>
        <v>3.3749999999999996</v>
      </c>
      <c r="I291" s="225">
        <f t="shared" si="377"/>
        <v>1.7999999999999998</v>
      </c>
      <c r="J291" s="561">
        <f t="shared" si="378"/>
        <v>24</v>
      </c>
      <c r="K291" s="456">
        <f t="shared" si="379"/>
        <v>15.25</v>
      </c>
      <c r="L291" s="456">
        <f t="shared" si="380"/>
        <v>39.25</v>
      </c>
      <c r="M291" s="456"/>
      <c r="N291" s="225">
        <f t="shared" si="381"/>
        <v>0.38853503184713378</v>
      </c>
      <c r="O291" s="180">
        <f t="shared" si="382"/>
        <v>3.9681251730822482</v>
      </c>
      <c r="P291" s="180">
        <f t="shared" si="383"/>
        <v>3.2450445859872605</v>
      </c>
      <c r="Q291" s="225">
        <f t="shared" si="384"/>
        <v>0.26454167820548319</v>
      </c>
      <c r="R291" s="225">
        <f t="shared" si="385"/>
        <v>0.49601564663528103</v>
      </c>
      <c r="S291" s="225">
        <f t="shared" si="386"/>
        <v>15</v>
      </c>
      <c r="T291" s="225">
        <f t="shared" si="387"/>
        <v>1.233265027322404</v>
      </c>
      <c r="U291" s="225">
        <f t="shared" si="388"/>
        <v>2.055441712204007</v>
      </c>
      <c r="V291" s="225">
        <f t="shared" si="389"/>
        <v>3.2347935142882731</v>
      </c>
      <c r="W291" s="205">
        <f t="shared" si="390"/>
        <v>350</v>
      </c>
      <c r="X291" s="456">
        <f t="shared" si="391"/>
        <v>189.02751147855017</v>
      </c>
      <c r="Z291" s="225">
        <f t="shared" si="392"/>
        <v>0.66606005459508633</v>
      </c>
      <c r="AA291" s="181">
        <f t="shared" si="393"/>
        <v>1.7470427661510461</v>
      </c>
      <c r="AB291" s="181">
        <f t="shared" si="394"/>
        <v>0.1328062141535481</v>
      </c>
      <c r="AC291" s="181"/>
      <c r="AD291" s="181">
        <f t="shared" si="395"/>
        <v>0.76065573770491812</v>
      </c>
      <c r="AE291" s="565">
        <f t="shared" si="396"/>
        <v>2039.9821640903688</v>
      </c>
      <c r="AF291" s="548">
        <f t="shared" si="397"/>
        <v>3.8603278688524589E-2</v>
      </c>
      <c r="AH291" s="181">
        <f t="shared" si="398"/>
        <v>0.85981725633166606</v>
      </c>
      <c r="AI291" s="181">
        <f t="shared" si="399"/>
        <v>1.233265027322404</v>
      </c>
      <c r="AJ291" s="181">
        <f t="shared" si="400"/>
        <v>1.8987148350536325</v>
      </c>
      <c r="AL291" s="565">
        <f t="shared" si="401"/>
        <v>224.99999999999997</v>
      </c>
      <c r="AM291" s="474">
        <f t="shared" si="402"/>
        <v>189.02751147855017</v>
      </c>
      <c r="AO291">
        <f t="shared" si="403"/>
        <v>224.99999999999997</v>
      </c>
      <c r="AP291">
        <f t="shared" si="404"/>
        <v>189.02751147855017</v>
      </c>
      <c r="AR291" s="6">
        <f t="shared" si="374"/>
        <v>5.290235226492281</v>
      </c>
      <c r="AS291" s="6">
        <f t="shared" si="353"/>
        <v>2.055441712204007</v>
      </c>
      <c r="AT291" s="6">
        <f t="shared" si="354"/>
        <v>3.234793514288274</v>
      </c>
      <c r="AU291" s="181">
        <f t="shared" si="355"/>
        <v>0.38853503184713373</v>
      </c>
      <c r="CB291" s="583">
        <f t="shared" si="405"/>
        <v>-50</v>
      </c>
    </row>
    <row r="292" spans="5:80" x14ac:dyDescent="0.2">
      <c r="E292" s="178">
        <v>76</v>
      </c>
      <c r="F292" s="225">
        <f t="shared" si="406"/>
        <v>0.22799999999999998</v>
      </c>
      <c r="G292" s="225">
        <f t="shared" si="375"/>
        <v>0.22799999999999998</v>
      </c>
      <c r="H292" s="225">
        <f t="shared" si="376"/>
        <v>3.42</v>
      </c>
      <c r="I292" s="225">
        <f t="shared" si="377"/>
        <v>1.8239999999999998</v>
      </c>
      <c r="J292" s="561">
        <f t="shared" si="378"/>
        <v>24</v>
      </c>
      <c r="K292" s="456">
        <f t="shared" si="379"/>
        <v>15.25</v>
      </c>
      <c r="L292" s="456">
        <f t="shared" si="380"/>
        <v>39.25</v>
      </c>
      <c r="M292" s="456"/>
      <c r="N292" s="225">
        <f t="shared" si="381"/>
        <v>0.38853503184713378</v>
      </c>
      <c r="O292" s="180">
        <f t="shared" si="382"/>
        <v>3.9681251730822482</v>
      </c>
      <c r="P292" s="180">
        <f t="shared" si="383"/>
        <v>3.2450445859872605</v>
      </c>
      <c r="Q292" s="225">
        <f t="shared" si="384"/>
        <v>0.26454167820548319</v>
      </c>
      <c r="R292" s="225">
        <f t="shared" si="385"/>
        <v>0.49601564663528103</v>
      </c>
      <c r="S292" s="225">
        <f t="shared" si="386"/>
        <v>15</v>
      </c>
      <c r="T292" s="225">
        <f t="shared" si="387"/>
        <v>1.2497085610200362</v>
      </c>
      <c r="U292" s="225">
        <f t="shared" si="388"/>
        <v>2.0828476017000606</v>
      </c>
      <c r="V292" s="225">
        <f t="shared" si="389"/>
        <v>3.277924094478784</v>
      </c>
      <c r="W292" s="205">
        <f t="shared" si="390"/>
        <v>350</v>
      </c>
      <c r="X292" s="456">
        <f t="shared" si="391"/>
        <v>186.54030738014822</v>
      </c>
      <c r="Z292" s="225">
        <f t="shared" si="392"/>
        <v>0.66606005459508633</v>
      </c>
      <c r="AA292" s="181">
        <f t="shared" si="393"/>
        <v>1.7470427661510461</v>
      </c>
      <c r="AB292" s="181">
        <f t="shared" si="394"/>
        <v>0.1328062141535481</v>
      </c>
      <c r="AC292" s="181"/>
      <c r="AD292" s="181">
        <f t="shared" si="395"/>
        <v>0.76065573770491812</v>
      </c>
      <c r="AE292" s="565">
        <f t="shared" si="396"/>
        <v>2067.1819262782401</v>
      </c>
      <c r="AF292" s="548">
        <f t="shared" si="397"/>
        <v>3.8603278688524589E-2</v>
      </c>
      <c r="AH292" s="181">
        <f t="shared" si="398"/>
        <v>0.86553039065237736</v>
      </c>
      <c r="AI292" s="181">
        <f t="shared" si="399"/>
        <v>1.2497085610200362</v>
      </c>
      <c r="AJ292" s="181">
        <f t="shared" si="400"/>
        <v>1.910895230385212</v>
      </c>
      <c r="AL292" s="565">
        <f t="shared" si="401"/>
        <v>227.99999999999997</v>
      </c>
      <c r="AM292" s="474">
        <f t="shared" si="402"/>
        <v>186.54030738014822</v>
      </c>
      <c r="AO292">
        <f t="shared" si="403"/>
        <v>227.99999999999997</v>
      </c>
      <c r="AP292">
        <f t="shared" si="404"/>
        <v>186.54030738014822</v>
      </c>
      <c r="AR292" s="6">
        <f t="shared" si="374"/>
        <v>5.3607716961788432</v>
      </c>
      <c r="AS292" s="6">
        <f t="shared" si="353"/>
        <v>2.0828476017000606</v>
      </c>
      <c r="AT292" s="6">
        <f t="shared" si="354"/>
        <v>3.2779240944787826</v>
      </c>
      <c r="AU292" s="181">
        <f t="shared" si="355"/>
        <v>0.38853503184713384</v>
      </c>
      <c r="CB292" s="583">
        <f t="shared" si="405"/>
        <v>-50</v>
      </c>
    </row>
    <row r="293" spans="5:80" x14ac:dyDescent="0.2">
      <c r="E293" s="178">
        <v>77</v>
      </c>
      <c r="F293" s="225">
        <f t="shared" si="406"/>
        <v>0.23099999999999998</v>
      </c>
      <c r="G293" s="225">
        <f t="shared" si="375"/>
        <v>0.23099999999999998</v>
      </c>
      <c r="H293" s="225">
        <f t="shared" si="376"/>
        <v>3.4649999999999999</v>
      </c>
      <c r="I293" s="225">
        <f t="shared" si="377"/>
        <v>1.8479999999999999</v>
      </c>
      <c r="J293" s="561">
        <f t="shared" si="378"/>
        <v>24</v>
      </c>
      <c r="K293" s="456">
        <f t="shared" si="379"/>
        <v>15.25</v>
      </c>
      <c r="L293" s="456">
        <f t="shared" si="380"/>
        <v>39.25</v>
      </c>
      <c r="M293" s="456"/>
      <c r="N293" s="225">
        <f t="shared" si="381"/>
        <v>0.38853503184713378</v>
      </c>
      <c r="O293" s="180">
        <f t="shared" si="382"/>
        <v>3.9681251730822482</v>
      </c>
      <c r="P293" s="180">
        <f t="shared" si="383"/>
        <v>3.2450445859872605</v>
      </c>
      <c r="Q293" s="225">
        <f t="shared" si="384"/>
        <v>0.26454167820548319</v>
      </c>
      <c r="R293" s="225">
        <f t="shared" si="385"/>
        <v>0.49601564663528103</v>
      </c>
      <c r="S293" s="225">
        <f t="shared" si="386"/>
        <v>15</v>
      </c>
      <c r="T293" s="225">
        <f t="shared" si="387"/>
        <v>1.2661520947176683</v>
      </c>
      <c r="U293" s="225">
        <f t="shared" si="388"/>
        <v>2.1102534911961137</v>
      </c>
      <c r="V293" s="225">
        <f t="shared" si="389"/>
        <v>3.3210546746692939</v>
      </c>
      <c r="W293" s="205">
        <f t="shared" si="390"/>
        <v>350</v>
      </c>
      <c r="X293" s="456">
        <f t="shared" si="391"/>
        <v>184.11770598560082</v>
      </c>
      <c r="Z293" s="225">
        <f t="shared" si="392"/>
        <v>0.66606005459508633</v>
      </c>
      <c r="AA293" s="181">
        <f t="shared" si="393"/>
        <v>1.7470427661510461</v>
      </c>
      <c r="AB293" s="181">
        <f t="shared" si="394"/>
        <v>0.1328062141535481</v>
      </c>
      <c r="AC293" s="181"/>
      <c r="AD293" s="181">
        <f t="shared" si="395"/>
        <v>0.76065573770491812</v>
      </c>
      <c r="AE293" s="565">
        <f t="shared" si="396"/>
        <v>2094.3816884661119</v>
      </c>
      <c r="AF293" s="548">
        <f t="shared" si="397"/>
        <v>3.8603278688524589E-2</v>
      </c>
      <c r="AH293" s="181">
        <f t="shared" si="398"/>
        <v>0.87120606058498007</v>
      </c>
      <c r="AI293" s="181">
        <f t="shared" si="399"/>
        <v>1.2661520947176683</v>
      </c>
      <c r="AJ293" s="181">
        <f t="shared" si="400"/>
        <v>1.9230756257167914</v>
      </c>
      <c r="AL293" s="565">
        <f t="shared" si="401"/>
        <v>230.99999999999997</v>
      </c>
      <c r="AM293" s="474">
        <f t="shared" si="402"/>
        <v>184.11770598560082</v>
      </c>
      <c r="AO293">
        <f t="shared" si="403"/>
        <v>230.99999999999997</v>
      </c>
      <c r="AP293">
        <f t="shared" si="404"/>
        <v>184.11770598560082</v>
      </c>
      <c r="AR293" s="6">
        <f t="shared" si="374"/>
        <v>5.4313081658654072</v>
      </c>
      <c r="AS293" s="6">
        <f t="shared" si="353"/>
        <v>2.1102534911961137</v>
      </c>
      <c r="AT293" s="6">
        <f t="shared" si="354"/>
        <v>3.3210546746692935</v>
      </c>
      <c r="AU293" s="181">
        <f t="shared" si="355"/>
        <v>0.38853503184713378</v>
      </c>
      <c r="CB293" s="583">
        <f t="shared" si="405"/>
        <v>-50</v>
      </c>
    </row>
    <row r="294" spans="5:80" x14ac:dyDescent="0.2">
      <c r="E294" s="178">
        <v>78</v>
      </c>
      <c r="F294" s="225">
        <f t="shared" si="406"/>
        <v>0.23399999999999999</v>
      </c>
      <c r="G294" s="225">
        <f t="shared" si="375"/>
        <v>0.23399999999999999</v>
      </c>
      <c r="H294" s="225">
        <f t="shared" si="376"/>
        <v>3.51</v>
      </c>
      <c r="I294" s="225">
        <f t="shared" si="377"/>
        <v>1.8719999999999999</v>
      </c>
      <c r="J294" s="561">
        <f t="shared" si="378"/>
        <v>24</v>
      </c>
      <c r="K294" s="456">
        <f t="shared" si="379"/>
        <v>15.25</v>
      </c>
      <c r="L294" s="456">
        <f t="shared" si="380"/>
        <v>39.25</v>
      </c>
      <c r="M294" s="456"/>
      <c r="N294" s="225">
        <f t="shared" si="381"/>
        <v>0.38853503184713378</v>
      </c>
      <c r="O294" s="180">
        <f t="shared" si="382"/>
        <v>3.9681251730822482</v>
      </c>
      <c r="P294" s="180">
        <f t="shared" si="383"/>
        <v>3.2450445859872605</v>
      </c>
      <c r="Q294" s="225">
        <f t="shared" si="384"/>
        <v>0.26454167820548319</v>
      </c>
      <c r="R294" s="225">
        <f t="shared" si="385"/>
        <v>0.49601564663528103</v>
      </c>
      <c r="S294" s="225">
        <f t="shared" si="386"/>
        <v>15</v>
      </c>
      <c r="T294" s="225">
        <f t="shared" si="387"/>
        <v>1.2825956284153004</v>
      </c>
      <c r="U294" s="225">
        <f t="shared" si="388"/>
        <v>2.1376593806921673</v>
      </c>
      <c r="V294" s="225">
        <f t="shared" si="389"/>
        <v>3.3641852548598044</v>
      </c>
      <c r="W294" s="205">
        <f t="shared" si="390"/>
        <v>350</v>
      </c>
      <c r="X294" s="456">
        <f t="shared" si="391"/>
        <v>181.75722257552897</v>
      </c>
      <c r="Z294" s="225">
        <f t="shared" si="392"/>
        <v>0.66606005459508633</v>
      </c>
      <c r="AA294" s="181">
        <f t="shared" si="393"/>
        <v>1.7470427661510461</v>
      </c>
      <c r="AB294" s="181">
        <f t="shared" si="394"/>
        <v>0.1328062141535481</v>
      </c>
      <c r="AC294" s="181"/>
      <c r="AD294" s="181">
        <f t="shared" si="395"/>
        <v>0.76065573770491812</v>
      </c>
      <c r="AE294" s="565">
        <f t="shared" si="396"/>
        <v>2121.5814506539832</v>
      </c>
      <c r="AF294" s="548">
        <f t="shared" si="397"/>
        <v>3.8603278688524589E-2</v>
      </c>
      <c r="AH294" s="181">
        <f t="shared" si="398"/>
        <v>0.87684499363179502</v>
      </c>
      <c r="AI294" s="181">
        <f t="shared" si="399"/>
        <v>1.2825956284153004</v>
      </c>
      <c r="AJ294" s="181">
        <f t="shared" si="400"/>
        <v>1.9352560210483705</v>
      </c>
      <c r="AL294" s="565">
        <f t="shared" si="401"/>
        <v>234</v>
      </c>
      <c r="AM294" s="474">
        <f t="shared" si="402"/>
        <v>181.75722257552897</v>
      </c>
      <c r="AO294">
        <f t="shared" si="403"/>
        <v>234</v>
      </c>
      <c r="AP294">
        <f t="shared" si="404"/>
        <v>181.75722257552897</v>
      </c>
      <c r="AR294" s="6">
        <f t="shared" si="374"/>
        <v>5.501844635551973</v>
      </c>
      <c r="AS294" s="6">
        <f t="shared" si="353"/>
        <v>2.1376593806921673</v>
      </c>
      <c r="AT294" s="6">
        <f t="shared" si="354"/>
        <v>3.3641852548598057</v>
      </c>
      <c r="AU294" s="181">
        <f t="shared" si="355"/>
        <v>0.38853503184713367</v>
      </c>
      <c r="CB294" s="583">
        <f t="shared" si="405"/>
        <v>-50</v>
      </c>
    </row>
    <row r="295" spans="5:80" x14ac:dyDescent="0.2">
      <c r="E295" s="178">
        <v>79</v>
      </c>
      <c r="F295" s="225">
        <f t="shared" si="406"/>
        <v>0.23699999999999999</v>
      </c>
      <c r="G295" s="225">
        <f t="shared" si="375"/>
        <v>0.23699999999999999</v>
      </c>
      <c r="H295" s="225">
        <f t="shared" si="376"/>
        <v>3.5549999999999997</v>
      </c>
      <c r="I295" s="225">
        <f t="shared" si="377"/>
        <v>1.8959999999999999</v>
      </c>
      <c r="J295" s="561">
        <f t="shared" si="378"/>
        <v>24</v>
      </c>
      <c r="K295" s="456">
        <f t="shared" si="379"/>
        <v>15.25</v>
      </c>
      <c r="L295" s="456">
        <f t="shared" si="380"/>
        <v>39.25</v>
      </c>
      <c r="M295" s="456"/>
      <c r="N295" s="225">
        <f t="shared" si="381"/>
        <v>0.38853503184713378</v>
      </c>
      <c r="O295" s="180">
        <f t="shared" si="382"/>
        <v>3.9681251730822482</v>
      </c>
      <c r="P295" s="180">
        <f t="shared" si="383"/>
        <v>3.2450445859872605</v>
      </c>
      <c r="Q295" s="225">
        <f t="shared" si="384"/>
        <v>0.26454167820548319</v>
      </c>
      <c r="R295" s="225">
        <f t="shared" si="385"/>
        <v>0.49601564663528103</v>
      </c>
      <c r="S295" s="225">
        <f t="shared" si="386"/>
        <v>15</v>
      </c>
      <c r="T295" s="225">
        <f t="shared" si="387"/>
        <v>1.2990391621129325</v>
      </c>
      <c r="U295" s="225">
        <f t="shared" si="388"/>
        <v>2.1650652701882209</v>
      </c>
      <c r="V295" s="225">
        <f t="shared" si="389"/>
        <v>3.4073158350503148</v>
      </c>
      <c r="W295" s="205">
        <f t="shared" si="390"/>
        <v>350</v>
      </c>
      <c r="X295" s="456">
        <f t="shared" si="391"/>
        <v>179.45649823912987</v>
      </c>
      <c r="Z295" s="225">
        <f t="shared" si="392"/>
        <v>0.66606005459508633</v>
      </c>
      <c r="AA295" s="181">
        <f t="shared" si="393"/>
        <v>1.7470427661510461</v>
      </c>
      <c r="AB295" s="181">
        <f t="shared" si="394"/>
        <v>0.1328062141535481</v>
      </c>
      <c r="AC295" s="181"/>
      <c r="AD295" s="181">
        <f t="shared" si="395"/>
        <v>0.76065573770491812</v>
      </c>
      <c r="AE295" s="565">
        <f t="shared" si="396"/>
        <v>2148.781212841855</v>
      </c>
      <c r="AF295" s="548">
        <f t="shared" si="397"/>
        <v>3.8603278688524589E-2</v>
      </c>
      <c r="AH295" s="181">
        <f t="shared" si="398"/>
        <v>0.88244789405056978</v>
      </c>
      <c r="AI295" s="181">
        <f t="shared" si="399"/>
        <v>1.2990391621129325</v>
      </c>
      <c r="AJ295" s="181">
        <f t="shared" si="400"/>
        <v>1.9474364163799498</v>
      </c>
      <c r="AL295" s="565">
        <f t="shared" si="401"/>
        <v>237</v>
      </c>
      <c r="AM295" s="474">
        <f t="shared" si="402"/>
        <v>179.45649823912987</v>
      </c>
      <c r="AO295">
        <f t="shared" si="403"/>
        <v>237</v>
      </c>
      <c r="AP295">
        <f t="shared" si="404"/>
        <v>179.45649823912987</v>
      </c>
      <c r="AR295" s="6">
        <f t="shared" si="374"/>
        <v>5.5723811052385361</v>
      </c>
      <c r="AS295" s="6">
        <f t="shared" si="353"/>
        <v>2.1650652701882209</v>
      </c>
      <c r="AT295" s="6">
        <f t="shared" si="354"/>
        <v>3.4073158350503152</v>
      </c>
      <c r="AU295" s="181">
        <f t="shared" si="355"/>
        <v>0.38853503184713373</v>
      </c>
      <c r="CB295" s="583">
        <f t="shared" si="405"/>
        <v>-50</v>
      </c>
    </row>
    <row r="296" spans="5:80" x14ac:dyDescent="0.2">
      <c r="E296" s="178">
        <v>80</v>
      </c>
      <c r="F296" s="225">
        <f t="shared" si="406"/>
        <v>0.24</v>
      </c>
      <c r="G296" s="225">
        <f t="shared" si="375"/>
        <v>0.24</v>
      </c>
      <c r="H296" s="225">
        <f t="shared" si="376"/>
        <v>3.5999999999999996</v>
      </c>
      <c r="I296" s="225">
        <f t="shared" si="377"/>
        <v>1.92</v>
      </c>
      <c r="J296" s="561">
        <f t="shared" si="378"/>
        <v>24</v>
      </c>
      <c r="K296" s="456">
        <f t="shared" si="379"/>
        <v>15.25</v>
      </c>
      <c r="L296" s="456">
        <f t="shared" si="380"/>
        <v>39.25</v>
      </c>
      <c r="M296" s="456"/>
      <c r="N296" s="225">
        <f t="shared" si="381"/>
        <v>0.38853503184713378</v>
      </c>
      <c r="O296" s="180">
        <f t="shared" si="382"/>
        <v>3.9681251730822482</v>
      </c>
      <c r="P296" s="180">
        <f t="shared" si="383"/>
        <v>3.2450445859872605</v>
      </c>
      <c r="Q296" s="225">
        <f t="shared" si="384"/>
        <v>0.26454167820548319</v>
      </c>
      <c r="R296" s="225">
        <f t="shared" si="385"/>
        <v>0.49601564663528103</v>
      </c>
      <c r="S296" s="225">
        <f t="shared" si="386"/>
        <v>15</v>
      </c>
      <c r="T296" s="225">
        <f t="shared" si="387"/>
        <v>1.3154826958105645</v>
      </c>
      <c r="U296" s="225">
        <f t="shared" si="388"/>
        <v>2.1924711596842741</v>
      </c>
      <c r="V296" s="225">
        <f t="shared" si="389"/>
        <v>3.4504464152408252</v>
      </c>
      <c r="W296" s="205">
        <f t="shared" si="390"/>
        <v>350</v>
      </c>
      <c r="X296" s="456">
        <f t="shared" si="391"/>
        <v>177.21329201114077</v>
      </c>
      <c r="Z296" s="225">
        <f t="shared" si="392"/>
        <v>0.66606005459508633</v>
      </c>
      <c r="AA296" s="181">
        <f t="shared" si="393"/>
        <v>1.7470427661510461</v>
      </c>
      <c r="AB296" s="181">
        <f t="shared" si="394"/>
        <v>0.1328062141535481</v>
      </c>
      <c r="AC296" s="181"/>
      <c r="AD296" s="181">
        <f t="shared" si="395"/>
        <v>0.76065573770491812</v>
      </c>
      <c r="AE296" s="565">
        <f t="shared" si="396"/>
        <v>2175.9809750297263</v>
      </c>
      <c r="AF296" s="548">
        <f t="shared" si="397"/>
        <v>3.8603278688524589E-2</v>
      </c>
      <c r="AH296" s="181">
        <f t="shared" si="398"/>
        <v>0.88801544388114573</v>
      </c>
      <c r="AI296" s="181">
        <f t="shared" si="399"/>
        <v>1.3154826958105645</v>
      </c>
      <c r="AJ296" s="181">
        <f t="shared" si="400"/>
        <v>1.9596168117115291</v>
      </c>
      <c r="AL296" s="565">
        <f t="shared" si="401"/>
        <v>240</v>
      </c>
      <c r="AM296" s="474">
        <f t="shared" si="402"/>
        <v>177.21329201114077</v>
      </c>
      <c r="AO296">
        <f t="shared" si="403"/>
        <v>240</v>
      </c>
      <c r="AP296">
        <f t="shared" si="404"/>
        <v>177.21329201114077</v>
      </c>
      <c r="AR296" s="6">
        <f t="shared" si="374"/>
        <v>5.6429175749250993</v>
      </c>
      <c r="AS296" s="6">
        <f t="shared" si="353"/>
        <v>2.1924711596842741</v>
      </c>
      <c r="AT296" s="6">
        <f t="shared" si="354"/>
        <v>3.4504464152408252</v>
      </c>
      <c r="AU296" s="181">
        <f t="shared" si="355"/>
        <v>0.38853503184713373</v>
      </c>
      <c r="CB296" s="583">
        <f t="shared" si="405"/>
        <v>-50</v>
      </c>
    </row>
    <row r="297" spans="5:80" x14ac:dyDescent="0.2">
      <c r="E297" s="178">
        <v>81</v>
      </c>
      <c r="F297" s="225">
        <f t="shared" si="406"/>
        <v>0.24299999999999999</v>
      </c>
      <c r="G297" s="225">
        <f t="shared" si="375"/>
        <v>0.24299999999999999</v>
      </c>
      <c r="H297" s="225">
        <f t="shared" si="376"/>
        <v>3.645</v>
      </c>
      <c r="I297" s="225">
        <f t="shared" si="377"/>
        <v>1.944</v>
      </c>
      <c r="J297" s="561">
        <f t="shared" si="378"/>
        <v>24</v>
      </c>
      <c r="K297" s="456">
        <f t="shared" si="379"/>
        <v>15.25</v>
      </c>
      <c r="L297" s="456">
        <f t="shared" si="380"/>
        <v>39.25</v>
      </c>
      <c r="M297" s="456"/>
      <c r="N297" s="225">
        <f t="shared" si="381"/>
        <v>0.38853503184713378</v>
      </c>
      <c r="O297" s="180">
        <f t="shared" si="382"/>
        <v>3.9681251730822482</v>
      </c>
      <c r="P297" s="180">
        <f t="shared" si="383"/>
        <v>3.2450445859872605</v>
      </c>
      <c r="Q297" s="225">
        <f t="shared" si="384"/>
        <v>0.26454167820548319</v>
      </c>
      <c r="R297" s="225">
        <f t="shared" si="385"/>
        <v>0.49601564663528103</v>
      </c>
      <c r="S297" s="225">
        <f t="shared" si="386"/>
        <v>15</v>
      </c>
      <c r="T297" s="225">
        <f t="shared" si="387"/>
        <v>1.3319262295081966</v>
      </c>
      <c r="U297" s="225">
        <f t="shared" si="388"/>
        <v>2.2198770491803281</v>
      </c>
      <c r="V297" s="225">
        <f t="shared" si="389"/>
        <v>3.493576995431336</v>
      </c>
      <c r="W297" s="205">
        <f t="shared" si="390"/>
        <v>350</v>
      </c>
      <c r="X297" s="456">
        <f t="shared" si="391"/>
        <v>175.02547359125012</v>
      </c>
      <c r="Z297" s="225">
        <f t="shared" si="392"/>
        <v>0.66606005459508633</v>
      </c>
      <c r="AA297" s="181">
        <f t="shared" si="393"/>
        <v>1.7470427661510461</v>
      </c>
      <c r="AB297" s="181">
        <f t="shared" si="394"/>
        <v>0.1328062141535481</v>
      </c>
      <c r="AC297" s="181"/>
      <c r="AD297" s="181">
        <f t="shared" si="395"/>
        <v>0.76065573770491812</v>
      </c>
      <c r="AE297" s="565">
        <f t="shared" si="396"/>
        <v>2203.1807372175981</v>
      </c>
      <c r="AF297" s="548">
        <f t="shared" si="397"/>
        <v>3.8603278688524589E-2</v>
      </c>
      <c r="AH297" s="181">
        <f t="shared" si="398"/>
        <v>0.89354830391455131</v>
      </c>
      <c r="AI297" s="181">
        <f t="shared" si="399"/>
        <v>1.3319262295081966</v>
      </c>
      <c r="AJ297" s="181">
        <f t="shared" si="400"/>
        <v>1.9717972070431085</v>
      </c>
      <c r="AL297" s="565">
        <f t="shared" si="401"/>
        <v>243</v>
      </c>
      <c r="AM297" s="474">
        <f t="shared" si="402"/>
        <v>175.02547359125012</v>
      </c>
      <c r="AO297">
        <f t="shared" si="403"/>
        <v>243</v>
      </c>
      <c r="AP297">
        <f t="shared" si="404"/>
        <v>175.02547359125012</v>
      </c>
      <c r="AR297" s="6">
        <f t="shared" si="374"/>
        <v>5.7134540446116642</v>
      </c>
      <c r="AS297" s="6">
        <f t="shared" si="353"/>
        <v>2.2198770491803281</v>
      </c>
      <c r="AT297" s="6">
        <f t="shared" si="354"/>
        <v>3.493576995431336</v>
      </c>
      <c r="AU297" s="181">
        <f t="shared" si="355"/>
        <v>0.38853503184713378</v>
      </c>
      <c r="CB297" s="583">
        <f t="shared" si="405"/>
        <v>-50</v>
      </c>
    </row>
    <row r="298" spans="5:80" x14ac:dyDescent="0.2">
      <c r="E298" s="178">
        <v>82</v>
      </c>
      <c r="F298" s="225">
        <f t="shared" si="406"/>
        <v>0.24599999999999997</v>
      </c>
      <c r="G298" s="225">
        <f t="shared" si="375"/>
        <v>0.24599999999999997</v>
      </c>
      <c r="H298" s="225">
        <f t="shared" si="376"/>
        <v>3.6899999999999995</v>
      </c>
      <c r="I298" s="225">
        <f t="shared" si="377"/>
        <v>1.9679999999999997</v>
      </c>
      <c r="J298" s="561">
        <f t="shared" si="378"/>
        <v>24</v>
      </c>
      <c r="K298" s="456">
        <f t="shared" si="379"/>
        <v>15.25</v>
      </c>
      <c r="L298" s="456">
        <f t="shared" si="380"/>
        <v>39.25</v>
      </c>
      <c r="M298" s="456"/>
      <c r="N298" s="225">
        <f t="shared" si="381"/>
        <v>0.38853503184713378</v>
      </c>
      <c r="O298" s="180">
        <f t="shared" si="382"/>
        <v>3.9681251730822482</v>
      </c>
      <c r="P298" s="180">
        <f t="shared" si="383"/>
        <v>3.2450445859872605</v>
      </c>
      <c r="Q298" s="225">
        <f t="shared" si="384"/>
        <v>0.26454167820548319</v>
      </c>
      <c r="R298" s="225">
        <f t="shared" si="385"/>
        <v>0.49601564663528103</v>
      </c>
      <c r="S298" s="225">
        <f t="shared" si="386"/>
        <v>15</v>
      </c>
      <c r="T298" s="225">
        <f t="shared" si="387"/>
        <v>1.3483697632058285</v>
      </c>
      <c r="U298" s="225">
        <f t="shared" si="388"/>
        <v>2.2472829386763808</v>
      </c>
      <c r="V298" s="225">
        <f t="shared" si="389"/>
        <v>3.5367075756218456</v>
      </c>
      <c r="W298" s="205">
        <f t="shared" si="390"/>
        <v>350</v>
      </c>
      <c r="X298" s="456">
        <f t="shared" si="391"/>
        <v>172.89101659623492</v>
      </c>
      <c r="Z298" s="225">
        <f t="shared" si="392"/>
        <v>0.66606005459508633</v>
      </c>
      <c r="AA298" s="181">
        <f t="shared" si="393"/>
        <v>1.7470427661510461</v>
      </c>
      <c r="AB298" s="181">
        <f t="shared" si="394"/>
        <v>0.1328062141535481</v>
      </c>
      <c r="AC298" s="181"/>
      <c r="AD298" s="181">
        <f t="shared" si="395"/>
        <v>0.76065573770491812</v>
      </c>
      <c r="AE298" s="565">
        <f t="shared" si="396"/>
        <v>2230.3804994054694</v>
      </c>
      <c r="AF298" s="548">
        <f t="shared" si="397"/>
        <v>3.8603278688524589E-2</v>
      </c>
      <c r="AH298" s="181">
        <f t="shared" si="398"/>
        <v>0.89904711460841369</v>
      </c>
      <c r="AI298" s="181">
        <f t="shared" si="399"/>
        <v>1.3483697632058285</v>
      </c>
      <c r="AJ298" s="181">
        <f t="shared" si="400"/>
        <v>1.9839776023746878</v>
      </c>
      <c r="AL298" s="565">
        <f t="shared" si="401"/>
        <v>245.99999999999997</v>
      </c>
      <c r="AM298" s="474">
        <f t="shared" si="402"/>
        <v>172.89101659623492</v>
      </c>
      <c r="AO298">
        <f t="shared" si="403"/>
        <v>245.99999999999997</v>
      </c>
      <c r="AP298">
        <f t="shared" si="404"/>
        <v>172.89101659623492</v>
      </c>
      <c r="AR298" s="6">
        <f t="shared" si="374"/>
        <v>5.7839905142982264</v>
      </c>
      <c r="AS298" s="6">
        <f t="shared" si="353"/>
        <v>2.2472829386763808</v>
      </c>
      <c r="AT298" s="6">
        <f t="shared" si="354"/>
        <v>3.5367075756218456</v>
      </c>
      <c r="AU298" s="181">
        <f t="shared" si="355"/>
        <v>0.38853503184713373</v>
      </c>
      <c r="CB298" s="583">
        <f t="shared" si="405"/>
        <v>-50</v>
      </c>
    </row>
    <row r="299" spans="5:80" x14ac:dyDescent="0.2">
      <c r="E299" s="178">
        <v>83</v>
      </c>
      <c r="F299" s="225">
        <f t="shared" si="406"/>
        <v>0.24899999999999997</v>
      </c>
      <c r="G299" s="225">
        <f t="shared" si="375"/>
        <v>0.24899999999999997</v>
      </c>
      <c r="H299" s="225">
        <f t="shared" si="376"/>
        <v>3.7349999999999994</v>
      </c>
      <c r="I299" s="225">
        <f t="shared" si="377"/>
        <v>1.9919999999999998</v>
      </c>
      <c r="J299" s="561">
        <f t="shared" si="378"/>
        <v>24</v>
      </c>
      <c r="K299" s="456">
        <f t="shared" si="379"/>
        <v>15.25</v>
      </c>
      <c r="L299" s="456">
        <f t="shared" si="380"/>
        <v>39.25</v>
      </c>
      <c r="M299" s="456"/>
      <c r="N299" s="225">
        <f t="shared" si="381"/>
        <v>0.38853503184713378</v>
      </c>
      <c r="O299" s="180">
        <f t="shared" si="382"/>
        <v>3.9681251730822482</v>
      </c>
      <c r="P299" s="180">
        <f t="shared" si="383"/>
        <v>3.2450445859872605</v>
      </c>
      <c r="Q299" s="225">
        <f t="shared" si="384"/>
        <v>0.26454167820548319</v>
      </c>
      <c r="R299" s="225">
        <f t="shared" si="385"/>
        <v>0.49601564663528103</v>
      </c>
      <c r="S299" s="225">
        <f t="shared" si="386"/>
        <v>15</v>
      </c>
      <c r="T299" s="225">
        <f t="shared" si="387"/>
        <v>1.3648132969034605</v>
      </c>
      <c r="U299" s="225">
        <f t="shared" si="388"/>
        <v>2.2746888281724345</v>
      </c>
      <c r="V299" s="225">
        <f t="shared" si="389"/>
        <v>3.5798381558123555</v>
      </c>
      <c r="W299" s="205">
        <f t="shared" si="390"/>
        <v>350</v>
      </c>
      <c r="X299" s="456">
        <f t="shared" si="391"/>
        <v>170.80799229989475</v>
      </c>
      <c r="Z299" s="225">
        <f t="shared" si="392"/>
        <v>0.66606005459508633</v>
      </c>
      <c r="AA299" s="181">
        <f t="shared" si="393"/>
        <v>1.7470427661510461</v>
      </c>
      <c r="AB299" s="181">
        <f t="shared" si="394"/>
        <v>0.1328062141535481</v>
      </c>
      <c r="AC299" s="181"/>
      <c r="AD299" s="181">
        <f t="shared" si="395"/>
        <v>0.76065573770491812</v>
      </c>
      <c r="AE299" s="565">
        <f t="shared" si="396"/>
        <v>2257.5802615933408</v>
      </c>
      <c r="AF299" s="548">
        <f t="shared" si="397"/>
        <v>3.8603278688524589E-2</v>
      </c>
      <c r="AH299" s="181">
        <f t="shared" si="398"/>
        <v>0.90451249695228475</v>
      </c>
      <c r="AI299" s="181">
        <f t="shared" si="399"/>
        <v>1.3648132969034605</v>
      </c>
      <c r="AJ299" s="181">
        <f t="shared" si="400"/>
        <v>1.9961579977062671</v>
      </c>
      <c r="AL299" s="565">
        <f t="shared" si="401"/>
        <v>248.99999999999997</v>
      </c>
      <c r="AM299" s="474">
        <f t="shared" si="402"/>
        <v>170.80799229989475</v>
      </c>
      <c r="AO299">
        <f t="shared" si="403"/>
        <v>248.99999999999997</v>
      </c>
      <c r="AP299">
        <f t="shared" si="404"/>
        <v>170.80799229989475</v>
      </c>
      <c r="AR299" s="6">
        <f t="shared" si="374"/>
        <v>5.8545269839847904</v>
      </c>
      <c r="AS299" s="6">
        <f t="shared" si="353"/>
        <v>2.2746888281724345</v>
      </c>
      <c r="AT299" s="6">
        <f t="shared" si="354"/>
        <v>3.579838155812356</v>
      </c>
      <c r="AU299" s="181">
        <f t="shared" si="355"/>
        <v>0.38853503184713373</v>
      </c>
      <c r="CB299" s="583">
        <f t="shared" si="405"/>
        <v>-50</v>
      </c>
    </row>
    <row r="300" spans="5:80" x14ac:dyDescent="0.2">
      <c r="E300" s="178">
        <v>84</v>
      </c>
      <c r="F300" s="225">
        <f t="shared" si="406"/>
        <v>0.252</v>
      </c>
      <c r="G300" s="225">
        <f t="shared" si="375"/>
        <v>0.252</v>
      </c>
      <c r="H300" s="225">
        <f t="shared" si="376"/>
        <v>3.7800000000000002</v>
      </c>
      <c r="I300" s="225">
        <f t="shared" si="377"/>
        <v>2.016</v>
      </c>
      <c r="J300" s="561">
        <f t="shared" si="378"/>
        <v>24</v>
      </c>
      <c r="K300" s="456">
        <f t="shared" si="379"/>
        <v>15.25</v>
      </c>
      <c r="L300" s="456">
        <f t="shared" si="380"/>
        <v>39.25</v>
      </c>
      <c r="M300" s="456"/>
      <c r="N300" s="225">
        <f t="shared" si="381"/>
        <v>0.38853503184713378</v>
      </c>
      <c r="O300" s="180">
        <f t="shared" si="382"/>
        <v>3.9681251730822482</v>
      </c>
      <c r="P300" s="180">
        <f t="shared" si="383"/>
        <v>3.2450445859872605</v>
      </c>
      <c r="Q300" s="225">
        <f t="shared" si="384"/>
        <v>0.26454167820548319</v>
      </c>
      <c r="R300" s="225">
        <f t="shared" si="385"/>
        <v>0.49601564663528103</v>
      </c>
      <c r="S300" s="225">
        <f t="shared" si="386"/>
        <v>15</v>
      </c>
      <c r="T300" s="225">
        <f t="shared" si="387"/>
        <v>1.3812568306010928</v>
      </c>
      <c r="U300" s="225">
        <f t="shared" si="388"/>
        <v>2.3020947176684885</v>
      </c>
      <c r="V300" s="225">
        <f t="shared" si="389"/>
        <v>3.6229687360028668</v>
      </c>
      <c r="W300" s="205">
        <f t="shared" si="390"/>
        <v>350</v>
      </c>
      <c r="X300" s="456">
        <f t="shared" si="391"/>
        <v>168.77456382013403</v>
      </c>
      <c r="Z300" s="225">
        <f t="shared" si="392"/>
        <v>0.66606005459508633</v>
      </c>
      <c r="AA300" s="181">
        <f t="shared" si="393"/>
        <v>1.7470427661510461</v>
      </c>
      <c r="AB300" s="181">
        <f t="shared" si="394"/>
        <v>0.1328062141535481</v>
      </c>
      <c r="AC300" s="181"/>
      <c r="AD300" s="181">
        <f t="shared" si="395"/>
        <v>0.76065573770491812</v>
      </c>
      <c r="AE300" s="565">
        <f t="shared" si="396"/>
        <v>2284.780023781213</v>
      </c>
      <c r="AF300" s="548">
        <f t="shared" si="397"/>
        <v>3.8603278688524589E-2</v>
      </c>
      <c r="AH300" s="181">
        <f t="shared" si="398"/>
        <v>0.90994505328618602</v>
      </c>
      <c r="AI300" s="181">
        <f t="shared" si="399"/>
        <v>1.3812568306010928</v>
      </c>
      <c r="AJ300" s="181">
        <f t="shared" si="400"/>
        <v>2.0083383930378464</v>
      </c>
      <c r="AL300" s="565">
        <f t="shared" si="401"/>
        <v>252</v>
      </c>
      <c r="AM300" s="474">
        <f t="shared" si="402"/>
        <v>168.77456382013403</v>
      </c>
      <c r="AO300">
        <f t="shared" si="403"/>
        <v>252</v>
      </c>
      <c r="AP300">
        <f t="shared" si="404"/>
        <v>168.77456382013403</v>
      </c>
      <c r="AR300" s="6">
        <f t="shared" si="374"/>
        <v>5.9250634536713562</v>
      </c>
      <c r="AS300" s="6">
        <f t="shared" si="353"/>
        <v>2.3020947176684885</v>
      </c>
      <c r="AT300" s="6">
        <f t="shared" si="354"/>
        <v>3.6229687360028677</v>
      </c>
      <c r="AU300" s="181">
        <f t="shared" si="355"/>
        <v>0.38853503184713373</v>
      </c>
      <c r="CB300" s="583">
        <f t="shared" si="405"/>
        <v>-50</v>
      </c>
    </row>
    <row r="301" spans="5:80" x14ac:dyDescent="0.2">
      <c r="E301" s="178">
        <v>85</v>
      </c>
      <c r="F301" s="225">
        <f t="shared" si="406"/>
        <v>0.255</v>
      </c>
      <c r="G301" s="225">
        <f t="shared" si="375"/>
        <v>0.255</v>
      </c>
      <c r="H301" s="225">
        <f t="shared" si="376"/>
        <v>3.8250000000000002</v>
      </c>
      <c r="I301" s="225">
        <f t="shared" si="377"/>
        <v>2.04</v>
      </c>
      <c r="J301" s="561">
        <f t="shared" si="378"/>
        <v>24</v>
      </c>
      <c r="K301" s="456">
        <f t="shared" si="379"/>
        <v>15.25</v>
      </c>
      <c r="L301" s="456">
        <f t="shared" si="380"/>
        <v>39.25</v>
      </c>
      <c r="M301" s="456"/>
      <c r="N301" s="225">
        <f t="shared" si="381"/>
        <v>0.38853503184713378</v>
      </c>
      <c r="O301" s="180">
        <f t="shared" si="382"/>
        <v>3.9681251730822482</v>
      </c>
      <c r="P301" s="180">
        <f t="shared" si="383"/>
        <v>3.2450445859872605</v>
      </c>
      <c r="Q301" s="225">
        <f t="shared" si="384"/>
        <v>0.26454167820548319</v>
      </c>
      <c r="R301" s="225">
        <f t="shared" si="385"/>
        <v>0.49601564663528103</v>
      </c>
      <c r="S301" s="225">
        <f t="shared" si="386"/>
        <v>15</v>
      </c>
      <c r="T301" s="225">
        <f t="shared" si="387"/>
        <v>1.3977003642987249</v>
      </c>
      <c r="U301" s="225">
        <f t="shared" si="388"/>
        <v>2.3295006071645417</v>
      </c>
      <c r="V301" s="225">
        <f t="shared" si="389"/>
        <v>3.6660993161933773</v>
      </c>
      <c r="W301" s="205">
        <f t="shared" si="390"/>
        <v>350</v>
      </c>
      <c r="X301" s="456">
        <f t="shared" si="391"/>
        <v>166.78898071636777</v>
      </c>
      <c r="Z301" s="225">
        <f t="shared" si="392"/>
        <v>0.66606005459508633</v>
      </c>
      <c r="AA301" s="181">
        <f t="shared" si="393"/>
        <v>1.7470427661510461</v>
      </c>
      <c r="AB301" s="181">
        <f t="shared" si="394"/>
        <v>0.1328062141535481</v>
      </c>
      <c r="AC301" s="181"/>
      <c r="AD301" s="181">
        <f t="shared" si="395"/>
        <v>0.76065573770491812</v>
      </c>
      <c r="AE301" s="565">
        <f t="shared" si="396"/>
        <v>2311.9797859690848</v>
      </c>
      <c r="AF301" s="548">
        <f t="shared" si="397"/>
        <v>3.8603278688524589E-2</v>
      </c>
      <c r="AH301" s="181">
        <f t="shared" si="398"/>
        <v>0.9153453680754291</v>
      </c>
      <c r="AI301" s="181">
        <f t="shared" si="399"/>
        <v>1.3977003642987249</v>
      </c>
      <c r="AJ301" s="181">
        <f t="shared" si="400"/>
        <v>2.0205187883694258</v>
      </c>
      <c r="AL301" s="565">
        <f t="shared" si="401"/>
        <v>255</v>
      </c>
      <c r="AM301" s="474">
        <f t="shared" si="402"/>
        <v>166.78898071636777</v>
      </c>
      <c r="AO301">
        <f t="shared" si="403"/>
        <v>255</v>
      </c>
      <c r="AP301">
        <f t="shared" si="404"/>
        <v>166.78898071636777</v>
      </c>
      <c r="AR301" s="6">
        <f t="shared" si="374"/>
        <v>5.9955999233579185</v>
      </c>
      <c r="AS301" s="6">
        <f t="shared" si="353"/>
        <v>2.3295006071645417</v>
      </c>
      <c r="AT301" s="6">
        <f t="shared" si="354"/>
        <v>3.6660993161933768</v>
      </c>
      <c r="AU301" s="181">
        <f t="shared" si="355"/>
        <v>0.38853503184713378</v>
      </c>
      <c r="CB301" s="583">
        <f t="shared" si="405"/>
        <v>-50</v>
      </c>
    </row>
    <row r="302" spans="5:80" x14ac:dyDescent="0.2">
      <c r="E302" s="178">
        <v>86</v>
      </c>
      <c r="F302" s="225">
        <f t="shared" si="406"/>
        <v>0.25800000000000001</v>
      </c>
      <c r="G302" s="225">
        <f t="shared" si="375"/>
        <v>0.25800000000000001</v>
      </c>
      <c r="H302" s="225">
        <f t="shared" si="376"/>
        <v>3.87</v>
      </c>
      <c r="I302" s="225">
        <f t="shared" si="377"/>
        <v>2.0640000000000001</v>
      </c>
      <c r="J302" s="561">
        <f t="shared" si="378"/>
        <v>24</v>
      </c>
      <c r="K302" s="456">
        <f t="shared" si="379"/>
        <v>15.25</v>
      </c>
      <c r="L302" s="456">
        <f t="shared" si="380"/>
        <v>39.25</v>
      </c>
      <c r="M302" s="456"/>
      <c r="N302" s="225">
        <f t="shared" si="381"/>
        <v>0.38853503184713378</v>
      </c>
      <c r="O302" s="180">
        <f t="shared" si="382"/>
        <v>3.9681251730822482</v>
      </c>
      <c r="P302" s="180">
        <f t="shared" si="383"/>
        <v>3.2450445859872605</v>
      </c>
      <c r="Q302" s="225">
        <f t="shared" si="384"/>
        <v>0.26454167820548319</v>
      </c>
      <c r="R302" s="225">
        <f t="shared" si="385"/>
        <v>0.49601564663528103</v>
      </c>
      <c r="S302" s="225">
        <f t="shared" si="386"/>
        <v>15</v>
      </c>
      <c r="T302" s="225">
        <f t="shared" si="387"/>
        <v>1.414143897996357</v>
      </c>
      <c r="U302" s="225">
        <f t="shared" si="388"/>
        <v>2.3569064966605953</v>
      </c>
      <c r="V302" s="225">
        <f t="shared" si="389"/>
        <v>3.7092298963838877</v>
      </c>
      <c r="W302" s="205">
        <f t="shared" si="390"/>
        <v>350</v>
      </c>
      <c r="X302" s="456">
        <f t="shared" si="391"/>
        <v>164.84957396385187</v>
      </c>
      <c r="Z302" s="225">
        <f t="shared" si="392"/>
        <v>0.66606005459508633</v>
      </c>
      <c r="AA302" s="181">
        <f t="shared" si="393"/>
        <v>1.7470427661510461</v>
      </c>
      <c r="AB302" s="181">
        <f t="shared" si="394"/>
        <v>0.1328062141535481</v>
      </c>
      <c r="AC302" s="181"/>
      <c r="AD302" s="181">
        <f t="shared" si="395"/>
        <v>0.76065573770491812</v>
      </c>
      <c r="AE302" s="565">
        <f t="shared" si="396"/>
        <v>2339.1795481569561</v>
      </c>
      <c r="AF302" s="548">
        <f t="shared" si="397"/>
        <v>3.8603278688524589E-2</v>
      </c>
      <c r="AH302" s="181">
        <f t="shared" si="398"/>
        <v>0.92071400864453323</v>
      </c>
      <c r="AI302" s="181">
        <f t="shared" si="399"/>
        <v>1.414143897996357</v>
      </c>
      <c r="AJ302" s="181">
        <f t="shared" si="400"/>
        <v>2.0326991837010051</v>
      </c>
      <c r="AL302" s="565">
        <f t="shared" si="401"/>
        <v>258</v>
      </c>
      <c r="AM302" s="474">
        <f t="shared" si="402"/>
        <v>164.84957396385187</v>
      </c>
      <c r="AO302">
        <f t="shared" si="403"/>
        <v>258</v>
      </c>
      <c r="AP302">
        <f t="shared" si="404"/>
        <v>164.84957396385187</v>
      </c>
      <c r="AR302" s="6">
        <f t="shared" si="374"/>
        <v>6.0661363930444825</v>
      </c>
      <c r="AS302" s="6">
        <f t="shared" si="353"/>
        <v>2.3569064966605953</v>
      </c>
      <c r="AT302" s="6">
        <f t="shared" si="354"/>
        <v>3.7092298963838872</v>
      </c>
      <c r="AU302" s="181">
        <f t="shared" si="355"/>
        <v>0.38853503184713378</v>
      </c>
      <c r="CB302" s="583">
        <f t="shared" si="405"/>
        <v>-50</v>
      </c>
    </row>
    <row r="303" spans="5:80" x14ac:dyDescent="0.2">
      <c r="E303" s="178">
        <v>87</v>
      </c>
      <c r="F303" s="225">
        <f t="shared" si="406"/>
        <v>0.26100000000000001</v>
      </c>
      <c r="G303" s="225">
        <f t="shared" si="375"/>
        <v>0.26100000000000001</v>
      </c>
      <c r="H303" s="225">
        <f t="shared" si="376"/>
        <v>3.915</v>
      </c>
      <c r="I303" s="225">
        <f t="shared" si="377"/>
        <v>2.0880000000000001</v>
      </c>
      <c r="J303" s="561">
        <f t="shared" si="378"/>
        <v>24</v>
      </c>
      <c r="K303" s="456">
        <f t="shared" si="379"/>
        <v>15.25</v>
      </c>
      <c r="L303" s="456">
        <f t="shared" si="380"/>
        <v>39.25</v>
      </c>
      <c r="M303" s="456"/>
      <c r="N303" s="225">
        <f t="shared" si="381"/>
        <v>0.38853503184713378</v>
      </c>
      <c r="O303" s="180">
        <f t="shared" si="382"/>
        <v>3.9681251730822482</v>
      </c>
      <c r="P303" s="180">
        <f t="shared" si="383"/>
        <v>3.2450445859872605</v>
      </c>
      <c r="Q303" s="225">
        <f t="shared" si="384"/>
        <v>0.26454167820548319</v>
      </c>
      <c r="R303" s="225">
        <f t="shared" si="385"/>
        <v>0.49601564663528103</v>
      </c>
      <c r="S303" s="225">
        <f t="shared" si="386"/>
        <v>15</v>
      </c>
      <c r="T303" s="225">
        <f t="shared" si="387"/>
        <v>1.4305874316939891</v>
      </c>
      <c r="U303" s="225">
        <f t="shared" si="388"/>
        <v>2.3843123861566484</v>
      </c>
      <c r="V303" s="225">
        <f t="shared" si="389"/>
        <v>3.7523604765743976</v>
      </c>
      <c r="W303" s="205">
        <f t="shared" si="390"/>
        <v>350</v>
      </c>
      <c r="X303" s="456">
        <f t="shared" si="391"/>
        <v>162.95475127461216</v>
      </c>
      <c r="Z303" s="225">
        <f t="shared" si="392"/>
        <v>0.66606005459508633</v>
      </c>
      <c r="AA303" s="181">
        <f t="shared" si="393"/>
        <v>1.7470427661510461</v>
      </c>
      <c r="AB303" s="181">
        <f t="shared" si="394"/>
        <v>0.1328062141535481</v>
      </c>
      <c r="AC303" s="181"/>
      <c r="AD303" s="181">
        <f t="shared" si="395"/>
        <v>0.76065573770491812</v>
      </c>
      <c r="AE303" s="565">
        <f t="shared" si="396"/>
        <v>2366.3793103448279</v>
      </c>
      <c r="AF303" s="548">
        <f t="shared" si="397"/>
        <v>3.8603278688524589E-2</v>
      </c>
      <c r="AH303" s="181">
        <f t="shared" si="398"/>
        <v>0.92605152587284711</v>
      </c>
      <c r="AI303" s="181">
        <f t="shared" si="399"/>
        <v>1.4305874316939891</v>
      </c>
      <c r="AJ303" s="181">
        <f t="shared" si="400"/>
        <v>2.0448795790325844</v>
      </c>
      <c r="AL303" s="565">
        <f t="shared" si="401"/>
        <v>261</v>
      </c>
      <c r="AM303" s="474">
        <f t="shared" si="402"/>
        <v>162.95475127461216</v>
      </c>
      <c r="AO303">
        <f t="shared" si="403"/>
        <v>261</v>
      </c>
      <c r="AP303">
        <f t="shared" si="404"/>
        <v>162.95475127461216</v>
      </c>
      <c r="AR303" s="6">
        <f t="shared" si="374"/>
        <v>6.1366728627310474</v>
      </c>
      <c r="AS303" s="6">
        <f t="shared" si="353"/>
        <v>2.3843123861566484</v>
      </c>
      <c r="AT303" s="6">
        <f t="shared" si="354"/>
        <v>3.752360476574399</v>
      </c>
      <c r="AU303" s="181">
        <f t="shared" si="355"/>
        <v>0.38853503184713367</v>
      </c>
      <c r="CB303" s="583">
        <f t="shared" si="405"/>
        <v>-50</v>
      </c>
    </row>
    <row r="304" spans="5:80" x14ac:dyDescent="0.2">
      <c r="E304" s="178">
        <v>88</v>
      </c>
      <c r="F304" s="225">
        <f t="shared" si="406"/>
        <v>0.26400000000000001</v>
      </c>
      <c r="G304" s="225">
        <f t="shared" si="375"/>
        <v>0.26400000000000001</v>
      </c>
      <c r="H304" s="225">
        <f t="shared" si="376"/>
        <v>3.96</v>
      </c>
      <c r="I304" s="225">
        <f t="shared" si="377"/>
        <v>2.1120000000000001</v>
      </c>
      <c r="J304" s="561">
        <f t="shared" si="378"/>
        <v>24</v>
      </c>
      <c r="K304" s="456">
        <f t="shared" si="379"/>
        <v>15.25</v>
      </c>
      <c r="L304" s="456">
        <f t="shared" si="380"/>
        <v>39.25</v>
      </c>
      <c r="M304" s="456"/>
      <c r="N304" s="225">
        <f t="shared" si="381"/>
        <v>0.38853503184713378</v>
      </c>
      <c r="O304" s="180">
        <f t="shared" si="382"/>
        <v>3.9681251730822482</v>
      </c>
      <c r="P304" s="180">
        <f t="shared" si="383"/>
        <v>3.2450445859872605</v>
      </c>
      <c r="Q304" s="225">
        <f t="shared" si="384"/>
        <v>0.26454167820548319</v>
      </c>
      <c r="R304" s="225">
        <f t="shared" si="385"/>
        <v>0.49601564663528103</v>
      </c>
      <c r="S304" s="225">
        <f t="shared" si="386"/>
        <v>15</v>
      </c>
      <c r="T304" s="225">
        <f t="shared" si="387"/>
        <v>1.4470309653916209</v>
      </c>
      <c r="U304" s="225">
        <f t="shared" si="388"/>
        <v>2.4117182756527016</v>
      </c>
      <c r="V304" s="225">
        <f t="shared" si="389"/>
        <v>3.7954910567649076</v>
      </c>
      <c r="W304" s="205">
        <f t="shared" si="390"/>
        <v>350</v>
      </c>
      <c r="X304" s="456">
        <f t="shared" si="391"/>
        <v>161.10299273740071</v>
      </c>
      <c r="Z304" s="225">
        <f t="shared" si="392"/>
        <v>0.66606005459508633</v>
      </c>
      <c r="AA304" s="181">
        <f t="shared" si="393"/>
        <v>1.7470427661510461</v>
      </c>
      <c r="AB304" s="181">
        <f t="shared" si="394"/>
        <v>0.1328062141535481</v>
      </c>
      <c r="AC304" s="181"/>
      <c r="AD304" s="181">
        <f t="shared" si="395"/>
        <v>0.76065573770491812</v>
      </c>
      <c r="AE304" s="565">
        <f t="shared" si="396"/>
        <v>2393.5790725326992</v>
      </c>
      <c r="AF304" s="548">
        <f t="shared" si="397"/>
        <v>3.8603278688524589E-2</v>
      </c>
      <c r="AH304" s="181">
        <f t="shared" si="398"/>
        <v>0.93135845485429047</v>
      </c>
      <c r="AI304" s="181">
        <f t="shared" si="399"/>
        <v>1.4470309653916209</v>
      </c>
      <c r="AJ304" s="181">
        <f t="shared" si="400"/>
        <v>2.0570599743641633</v>
      </c>
      <c r="AL304" s="565">
        <f t="shared" si="401"/>
        <v>264</v>
      </c>
      <c r="AM304" s="474">
        <f t="shared" si="402"/>
        <v>161.10299273740071</v>
      </c>
      <c r="AO304">
        <f t="shared" si="403"/>
        <v>264</v>
      </c>
      <c r="AP304">
        <f t="shared" si="404"/>
        <v>161.10299273740071</v>
      </c>
      <c r="AR304" s="6">
        <f t="shared" si="374"/>
        <v>6.2072093324176087</v>
      </c>
      <c r="AS304" s="6">
        <f t="shared" si="353"/>
        <v>2.4117182756527016</v>
      </c>
      <c r="AT304" s="6">
        <f t="shared" si="354"/>
        <v>3.7954910567649072</v>
      </c>
      <c r="AU304" s="181">
        <f t="shared" si="355"/>
        <v>0.38853503184713378</v>
      </c>
      <c r="CB304" s="583">
        <f t="shared" si="405"/>
        <v>161.10299273740071</v>
      </c>
    </row>
    <row r="305" spans="5:80" x14ac:dyDescent="0.2">
      <c r="E305" s="178">
        <v>89</v>
      </c>
      <c r="F305" s="225">
        <f t="shared" si="406"/>
        <v>0.26700000000000002</v>
      </c>
      <c r="G305" s="225">
        <f t="shared" si="375"/>
        <v>0.26700000000000002</v>
      </c>
      <c r="H305" s="225">
        <f t="shared" si="376"/>
        <v>4.0049999999999999</v>
      </c>
      <c r="I305" s="225">
        <f t="shared" si="377"/>
        <v>2.1360000000000001</v>
      </c>
      <c r="J305" s="561">
        <f t="shared" si="378"/>
        <v>24</v>
      </c>
      <c r="K305" s="456">
        <f t="shared" si="379"/>
        <v>15.111892034015909</v>
      </c>
      <c r="L305" s="456">
        <f t="shared" si="380"/>
        <v>39.25</v>
      </c>
      <c r="M305" s="456"/>
      <c r="N305" s="225">
        <f t="shared" si="381"/>
        <v>0.38853503184713378</v>
      </c>
      <c r="O305" s="180">
        <f t="shared" si="382"/>
        <v>3.9681251730822482</v>
      </c>
      <c r="P305" s="180">
        <f t="shared" si="383"/>
        <v>3.2450445859872605</v>
      </c>
      <c r="Q305" s="225">
        <f t="shared" si="384"/>
        <v>0.26454167820548319</v>
      </c>
      <c r="R305" s="225">
        <f t="shared" si="385"/>
        <v>0.49601564663528103</v>
      </c>
      <c r="S305" s="225">
        <f t="shared" si="386"/>
        <v>14.861892034015909</v>
      </c>
      <c r="T305" s="225">
        <f t="shared" si="387"/>
        <v>1.45</v>
      </c>
      <c r="U305" s="225">
        <f t="shared" si="388"/>
        <v>2.4166666666666665</v>
      </c>
      <c r="V305" s="225">
        <f t="shared" si="389"/>
        <v>3.8380369492744975</v>
      </c>
      <c r="W305" s="205">
        <f t="shared" si="390"/>
        <v>350</v>
      </c>
      <c r="X305" s="456">
        <f t="shared" si="391"/>
        <v>159.87967798367487</v>
      </c>
      <c r="Z305" s="225">
        <f t="shared" si="392"/>
        <v>0.66235866593236725</v>
      </c>
      <c r="AA305" s="181">
        <f t="shared" si="393"/>
        <v>1.7532117472555786</v>
      </c>
      <c r="AB305" s="181">
        <f t="shared" si="394"/>
        <v>0.13253453735974105</v>
      </c>
      <c r="AC305" s="181"/>
      <c r="AD305" s="181">
        <f t="shared" si="395"/>
        <v>0.76760738985489951</v>
      </c>
      <c r="AE305" s="565">
        <f t="shared" si="396"/>
        <v>2398.8556320346302</v>
      </c>
      <c r="AF305" s="548">
        <f t="shared" si="397"/>
        <v>3.8956075035136151E-2</v>
      </c>
      <c r="AH305" s="181">
        <f t="shared" si="398"/>
        <v>0.93663531552345081</v>
      </c>
      <c r="AI305" s="181">
        <f t="shared" si="399"/>
        <v>1.45</v>
      </c>
      <c r="AJ305" s="181">
        <f t="shared" si="400"/>
        <v>2.0592592592592593</v>
      </c>
      <c r="AL305" s="565">
        <f t="shared" si="401"/>
        <v>267</v>
      </c>
      <c r="AM305" s="474">
        <f t="shared" si="402"/>
        <v>159.87967798367487</v>
      </c>
      <c r="AO305" t="str">
        <f t="shared" si="403"/>
        <v/>
      </c>
      <c r="AP305" t="str">
        <f t="shared" si="404"/>
        <v/>
      </c>
      <c r="AR305" s="6">
        <f t="shared" si="374"/>
        <v>6.2547036159411631</v>
      </c>
      <c r="AS305" s="6">
        <f t="shared" si="353"/>
        <v>2.4166666666666665</v>
      </c>
      <c r="AT305" s="6">
        <f t="shared" si="354"/>
        <v>3.8380369492744966</v>
      </c>
      <c r="AU305" s="181">
        <f t="shared" si="355"/>
        <v>0.3863758884605476</v>
      </c>
      <c r="CB305" s="583">
        <f t="shared" si="405"/>
        <v>-50</v>
      </c>
    </row>
    <row r="306" spans="5:80" x14ac:dyDescent="0.2">
      <c r="E306" s="178">
        <v>90</v>
      </c>
      <c r="F306" s="225">
        <f t="shared" si="406"/>
        <v>0.27</v>
      </c>
      <c r="G306" s="225">
        <f t="shared" si="375"/>
        <v>0.27</v>
      </c>
      <c r="H306" s="225">
        <f t="shared" si="376"/>
        <v>4.0500000000000007</v>
      </c>
      <c r="I306" s="225">
        <f t="shared" si="377"/>
        <v>2.16</v>
      </c>
      <c r="J306" s="561">
        <f t="shared" si="378"/>
        <v>24</v>
      </c>
      <c r="K306" s="456">
        <f t="shared" si="379"/>
        <v>14.946759900304622</v>
      </c>
      <c r="L306" s="456">
        <f t="shared" si="380"/>
        <v>39.25</v>
      </c>
      <c r="M306" s="456"/>
      <c r="N306" s="225">
        <f t="shared" si="381"/>
        <v>0.38853503184713378</v>
      </c>
      <c r="O306" s="180">
        <f t="shared" si="382"/>
        <v>3.9681251730822482</v>
      </c>
      <c r="P306" s="180">
        <f t="shared" si="383"/>
        <v>3.2450445859872605</v>
      </c>
      <c r="Q306" s="225">
        <f t="shared" si="384"/>
        <v>0.26454167820548319</v>
      </c>
      <c r="R306" s="225">
        <f t="shared" si="385"/>
        <v>0.49601564663528103</v>
      </c>
      <c r="S306" s="225">
        <f t="shared" si="386"/>
        <v>14.696759900304622</v>
      </c>
      <c r="T306" s="225">
        <f t="shared" si="387"/>
        <v>1.45</v>
      </c>
      <c r="U306" s="225">
        <f t="shared" si="388"/>
        <v>2.4166666666666665</v>
      </c>
      <c r="V306" s="225">
        <f t="shared" si="389"/>
        <v>3.8804396663130936</v>
      </c>
      <c r="W306" s="205">
        <f t="shared" si="390"/>
        <v>350</v>
      </c>
      <c r="X306" s="456">
        <f t="shared" si="391"/>
        <v>158.80309893493649</v>
      </c>
      <c r="Z306" s="225">
        <f t="shared" si="392"/>
        <v>0.65789855273045106</v>
      </c>
      <c r="AA306" s="181">
        <f t="shared" si="393"/>
        <v>1.760645269258772</v>
      </c>
      <c r="AB306" s="181">
        <f t="shared" si="394"/>
        <v>0.13220024709162112</v>
      </c>
      <c r="AC306" s="181"/>
      <c r="AD306" s="181">
        <f t="shared" si="395"/>
        <v>0.77608793326261882</v>
      </c>
      <c r="AE306" s="565">
        <f t="shared" si="396"/>
        <v>2399.3015297754155</v>
      </c>
      <c r="AF306" s="548">
        <f t="shared" si="397"/>
        <v>3.9386462613077905E-2</v>
      </c>
      <c r="AH306" s="181">
        <f t="shared" si="398"/>
        <v>0.94188261325011047</v>
      </c>
      <c r="AI306" s="181">
        <f t="shared" si="399"/>
        <v>1.45</v>
      </c>
      <c r="AJ306" s="181">
        <f t="shared" si="400"/>
        <v>2.0592592592592593</v>
      </c>
      <c r="AL306" s="565">
        <f t="shared" si="401"/>
        <v>270</v>
      </c>
      <c r="AM306" s="474">
        <f t="shared" si="402"/>
        <v>158.80309893493649</v>
      </c>
      <c r="AO306" t="str">
        <f t="shared" si="403"/>
        <v/>
      </c>
      <c r="AP306" t="str">
        <f t="shared" si="404"/>
        <v/>
      </c>
      <c r="AR306" s="6">
        <f t="shared" si="374"/>
        <v>6.2971063329797605</v>
      </c>
      <c r="AS306" s="6">
        <f t="shared" si="353"/>
        <v>2.4166666666666665</v>
      </c>
      <c r="AT306" s="6">
        <f t="shared" si="354"/>
        <v>3.880439666313094</v>
      </c>
      <c r="AU306" s="181">
        <f t="shared" si="355"/>
        <v>0.3837741557594298</v>
      </c>
      <c r="CB306" s="583">
        <f t="shared" si="405"/>
        <v>-50</v>
      </c>
    </row>
    <row r="307" spans="5:80" x14ac:dyDescent="0.2">
      <c r="E307" s="178">
        <v>91</v>
      </c>
      <c r="F307" s="225">
        <f t="shared" si="406"/>
        <v>0.27300000000000002</v>
      </c>
      <c r="G307" s="225">
        <f t="shared" si="375"/>
        <v>0.27300000000000002</v>
      </c>
      <c r="H307" s="225">
        <f t="shared" si="376"/>
        <v>4.0950000000000006</v>
      </c>
      <c r="I307" s="225">
        <f t="shared" si="377"/>
        <v>2.1840000000000002</v>
      </c>
      <c r="J307" s="561">
        <f t="shared" si="378"/>
        <v>24</v>
      </c>
      <c r="K307" s="456">
        <f t="shared" si="379"/>
        <v>14.785257044257319</v>
      </c>
      <c r="L307" s="456">
        <f t="shared" si="380"/>
        <v>39.25</v>
      </c>
      <c r="M307" s="456"/>
      <c r="N307" s="225">
        <f t="shared" si="381"/>
        <v>0.38853503184713378</v>
      </c>
      <c r="O307" s="180">
        <f t="shared" si="382"/>
        <v>3.9681251730822482</v>
      </c>
      <c r="P307" s="180">
        <f t="shared" si="383"/>
        <v>3.2450445859872605</v>
      </c>
      <c r="Q307" s="225">
        <f t="shared" si="384"/>
        <v>0.26454167820548319</v>
      </c>
      <c r="R307" s="225">
        <f t="shared" si="385"/>
        <v>0.49601564663528103</v>
      </c>
      <c r="S307" s="225">
        <f t="shared" si="386"/>
        <v>14.535257044257319</v>
      </c>
      <c r="T307" s="225">
        <f t="shared" si="387"/>
        <v>1.45</v>
      </c>
      <c r="U307" s="225">
        <f t="shared" si="388"/>
        <v>2.4166666666666665</v>
      </c>
      <c r="V307" s="225">
        <f t="shared" si="389"/>
        <v>3.9228266256302624</v>
      </c>
      <c r="W307" s="205">
        <f t="shared" si="390"/>
        <v>350</v>
      </c>
      <c r="X307" s="456">
        <f t="shared" si="391"/>
        <v>157.74131368118847</v>
      </c>
      <c r="Z307" s="225">
        <f t="shared" si="392"/>
        <v>0.65349972810778079</v>
      </c>
      <c r="AA307" s="181">
        <f t="shared" si="393"/>
        <v>1.7679766436298894</v>
      </c>
      <c r="AB307" s="181">
        <f t="shared" si="394"/>
        <v>0.13186313790311865</v>
      </c>
      <c r="AC307" s="181"/>
      <c r="AD307" s="181">
        <f t="shared" si="395"/>
        <v>0.78456532512605248</v>
      </c>
      <c r="AE307" s="565">
        <f t="shared" si="396"/>
        <v>2399.7474275162003</v>
      </c>
      <c r="AF307" s="548">
        <f t="shared" si="397"/>
        <v>3.9816690250147162E-2</v>
      </c>
      <c r="AH307" s="181">
        <f t="shared" si="398"/>
        <v>0.94710083940412593</v>
      </c>
      <c r="AI307" s="181">
        <f t="shared" si="399"/>
        <v>1.45</v>
      </c>
      <c r="AJ307" s="181">
        <f t="shared" si="400"/>
        <v>2.0592592592592593</v>
      </c>
      <c r="AL307" s="565">
        <f t="shared" si="401"/>
        <v>273</v>
      </c>
      <c r="AM307" s="474">
        <f t="shared" si="402"/>
        <v>157.74131368118847</v>
      </c>
      <c r="AO307" t="str">
        <f t="shared" si="403"/>
        <v/>
      </c>
      <c r="AP307" t="str">
        <f t="shared" si="404"/>
        <v/>
      </c>
      <c r="AR307" s="6">
        <f t="shared" si="374"/>
        <v>6.339493292296928</v>
      </c>
      <c r="AS307" s="6">
        <f t="shared" ref="AS307:AS316" si="407">L*AI307/J307*1000000</f>
        <v>2.4166666666666665</v>
      </c>
      <c r="AT307" s="6">
        <f t="shared" ref="AT307:AT316" si="408">AR307-AS307</f>
        <v>3.9228266256302615</v>
      </c>
      <c r="AU307" s="181">
        <f t="shared" ref="AU307:AU316" si="409">AS307/AR307</f>
        <v>0.38120817472953877</v>
      </c>
      <c r="CB307" s="583">
        <f t="shared" si="405"/>
        <v>-50</v>
      </c>
    </row>
    <row r="308" spans="5:80" x14ac:dyDescent="0.2">
      <c r="E308" s="178">
        <v>92</v>
      </c>
      <c r="F308" s="225">
        <f t="shared" si="406"/>
        <v>0.27600000000000002</v>
      </c>
      <c r="G308" s="225">
        <f t="shared" si="375"/>
        <v>0.27600000000000002</v>
      </c>
      <c r="H308" s="225">
        <f t="shared" si="376"/>
        <v>4.1400000000000006</v>
      </c>
      <c r="I308" s="225">
        <f t="shared" si="377"/>
        <v>2.2080000000000002</v>
      </c>
      <c r="J308" s="561">
        <f t="shared" si="378"/>
        <v>24</v>
      </c>
      <c r="K308" s="456">
        <f t="shared" si="379"/>
        <v>14.627265119863218</v>
      </c>
      <c r="L308" s="456">
        <f t="shared" si="380"/>
        <v>39.25</v>
      </c>
      <c r="M308" s="456"/>
      <c r="N308" s="225">
        <f t="shared" si="381"/>
        <v>0.38853503184713378</v>
      </c>
      <c r="O308" s="180">
        <f t="shared" si="382"/>
        <v>3.9681251730822482</v>
      </c>
      <c r="P308" s="180">
        <f t="shared" si="383"/>
        <v>3.2450445859872605</v>
      </c>
      <c r="Q308" s="225">
        <f t="shared" si="384"/>
        <v>0.26454167820548319</v>
      </c>
      <c r="R308" s="225">
        <f t="shared" si="385"/>
        <v>0.49601564663528103</v>
      </c>
      <c r="S308" s="225">
        <f t="shared" si="386"/>
        <v>14.377265119863218</v>
      </c>
      <c r="T308" s="225">
        <f t="shared" si="387"/>
        <v>1.45</v>
      </c>
      <c r="U308" s="225">
        <f t="shared" si="388"/>
        <v>2.4166666666666665</v>
      </c>
      <c r="V308" s="225">
        <f t="shared" si="389"/>
        <v>3.9651978360082101</v>
      </c>
      <c r="W308" s="205">
        <f t="shared" si="390"/>
        <v>350</v>
      </c>
      <c r="X308" s="456">
        <f t="shared" si="391"/>
        <v>156.69401937017983</v>
      </c>
      <c r="Z308" s="225">
        <f t="shared" si="392"/>
        <v>0.64916093739074487</v>
      </c>
      <c r="AA308" s="181">
        <f t="shared" si="393"/>
        <v>1.7752079614916156</v>
      </c>
      <c r="AB308" s="181">
        <f t="shared" si="394"/>
        <v>0.13152341821333491</v>
      </c>
      <c r="AC308" s="181"/>
      <c r="AD308" s="181">
        <f t="shared" si="395"/>
        <v>0.79303956720164204</v>
      </c>
      <c r="AE308" s="565">
        <f t="shared" si="396"/>
        <v>2400.1933252569847</v>
      </c>
      <c r="AF308" s="548">
        <f t="shared" si="397"/>
        <v>4.0246758035483332E-2</v>
      </c>
      <c r="AH308" s="181">
        <f t="shared" si="398"/>
        <v>0.95229047189244875</v>
      </c>
      <c r="AI308" s="181">
        <f t="shared" si="399"/>
        <v>1.45</v>
      </c>
      <c r="AJ308" s="181">
        <f t="shared" si="400"/>
        <v>2.0592592592592593</v>
      </c>
      <c r="AL308" s="565">
        <f t="shared" si="401"/>
        <v>276</v>
      </c>
      <c r="AM308" s="474">
        <f t="shared" si="402"/>
        <v>156.69401937017983</v>
      </c>
      <c r="AO308" t="str">
        <f t="shared" si="403"/>
        <v/>
      </c>
      <c r="AP308" t="str">
        <f t="shared" si="404"/>
        <v/>
      </c>
      <c r="AR308" s="6">
        <f t="shared" si="374"/>
        <v>6.3818645026748761</v>
      </c>
      <c r="AS308" s="6">
        <f t="shared" si="407"/>
        <v>2.4166666666666665</v>
      </c>
      <c r="AT308" s="6">
        <f t="shared" si="408"/>
        <v>3.9651978360082096</v>
      </c>
      <c r="AU308" s="181">
        <f t="shared" si="409"/>
        <v>0.37867721347793454</v>
      </c>
      <c r="CB308" s="583">
        <f t="shared" si="405"/>
        <v>-50</v>
      </c>
    </row>
    <row r="309" spans="5:80" x14ac:dyDescent="0.2">
      <c r="E309" s="178">
        <v>93</v>
      </c>
      <c r="F309" s="225">
        <f t="shared" si="406"/>
        <v>0.27900000000000003</v>
      </c>
      <c r="G309" s="225">
        <f t="shared" si="375"/>
        <v>0.27900000000000003</v>
      </c>
      <c r="H309" s="225">
        <f t="shared" si="376"/>
        <v>4.1850000000000005</v>
      </c>
      <c r="I309" s="225">
        <f t="shared" si="377"/>
        <v>2.2320000000000002</v>
      </c>
      <c r="J309" s="561">
        <f t="shared" si="378"/>
        <v>24</v>
      </c>
      <c r="K309" s="456">
        <f t="shared" si="379"/>
        <v>14.472670871262537</v>
      </c>
      <c r="L309" s="456">
        <f t="shared" si="380"/>
        <v>39.25</v>
      </c>
      <c r="M309" s="456"/>
      <c r="N309" s="225">
        <f t="shared" si="381"/>
        <v>0.38853503184713378</v>
      </c>
      <c r="O309" s="180">
        <f t="shared" si="382"/>
        <v>3.9681251730822482</v>
      </c>
      <c r="P309" s="180">
        <f t="shared" si="383"/>
        <v>3.2450445859872605</v>
      </c>
      <c r="Q309" s="225">
        <f t="shared" si="384"/>
        <v>0.26454167820548319</v>
      </c>
      <c r="R309" s="225">
        <f t="shared" si="385"/>
        <v>0.49601564663528103</v>
      </c>
      <c r="S309" s="225">
        <f t="shared" si="386"/>
        <v>14.222670871262537</v>
      </c>
      <c r="T309" s="225">
        <f t="shared" si="387"/>
        <v>1.45</v>
      </c>
      <c r="U309" s="225">
        <f t="shared" si="388"/>
        <v>2.4166666666666665</v>
      </c>
      <c r="V309" s="225">
        <f t="shared" si="389"/>
        <v>4.0075533062226212</v>
      </c>
      <c r="W309" s="205">
        <f t="shared" si="390"/>
        <v>350</v>
      </c>
      <c r="X309" s="456">
        <f t="shared" si="391"/>
        <v>155.66092136011505</v>
      </c>
      <c r="Z309" s="225">
        <f t="shared" si="392"/>
        <v>0.64488095992047667</v>
      </c>
      <c r="AA309" s="181">
        <f t="shared" si="393"/>
        <v>1.7823412572753961</v>
      </c>
      <c r="AB309" s="181">
        <f t="shared" si="394"/>
        <v>0.13118128673288132</v>
      </c>
      <c r="AC309" s="181"/>
      <c r="AD309" s="181">
        <f t="shared" si="395"/>
        <v>0.80151066124452419</v>
      </c>
      <c r="AE309" s="565">
        <f t="shared" si="396"/>
        <v>2400.6392229977696</v>
      </c>
      <c r="AF309" s="548">
        <f t="shared" si="397"/>
        <v>4.0676666058159602E-2</v>
      </c>
      <c r="AH309" s="181">
        <f t="shared" si="398"/>
        <v>0.95745197566994744</v>
      </c>
      <c r="AI309" s="181">
        <f t="shared" si="399"/>
        <v>1.45</v>
      </c>
      <c r="AJ309" s="181">
        <f t="shared" si="400"/>
        <v>2.0592592592592593</v>
      </c>
      <c r="AL309" s="565">
        <f t="shared" si="401"/>
        <v>279</v>
      </c>
      <c r="AM309" s="474">
        <f t="shared" si="402"/>
        <v>155.66092136011505</v>
      </c>
      <c r="AO309" t="str">
        <f t="shared" si="403"/>
        <v/>
      </c>
      <c r="AP309" t="str">
        <f t="shared" si="404"/>
        <v/>
      </c>
      <c r="AR309" s="6">
        <f t="shared" si="374"/>
        <v>6.4242199728892881</v>
      </c>
      <c r="AS309" s="6">
        <f t="shared" si="407"/>
        <v>2.4166666666666665</v>
      </c>
      <c r="AT309" s="6">
        <f t="shared" si="408"/>
        <v>4.0075533062226221</v>
      </c>
      <c r="AU309" s="181">
        <f t="shared" si="409"/>
        <v>0.37618055995361138</v>
      </c>
      <c r="CB309" s="583">
        <f t="shared" si="405"/>
        <v>-50</v>
      </c>
    </row>
    <row r="310" spans="5:80" x14ac:dyDescent="0.2">
      <c r="E310" s="178">
        <v>94</v>
      </c>
      <c r="F310" s="225">
        <f t="shared" si="406"/>
        <v>0.28199999999999997</v>
      </c>
      <c r="G310" s="225">
        <f t="shared" si="375"/>
        <v>0.28199999999999997</v>
      </c>
      <c r="H310" s="225">
        <f t="shared" si="376"/>
        <v>4.2299999999999995</v>
      </c>
      <c r="I310" s="225">
        <f t="shared" si="377"/>
        <v>2.2559999999999998</v>
      </c>
      <c r="J310" s="561">
        <f t="shared" si="378"/>
        <v>24</v>
      </c>
      <c r="K310" s="456">
        <f t="shared" si="379"/>
        <v>14.321365861993788</v>
      </c>
      <c r="L310" s="456">
        <f t="shared" si="380"/>
        <v>39.25</v>
      </c>
      <c r="M310" s="456"/>
      <c r="N310" s="225">
        <f t="shared" si="381"/>
        <v>0.38853503184713378</v>
      </c>
      <c r="O310" s="180">
        <f t="shared" si="382"/>
        <v>3.9681251730822482</v>
      </c>
      <c r="P310" s="180">
        <f t="shared" si="383"/>
        <v>3.2450445859872605</v>
      </c>
      <c r="Q310" s="225">
        <f t="shared" si="384"/>
        <v>0.26454167820548319</v>
      </c>
      <c r="R310" s="225">
        <f t="shared" si="385"/>
        <v>0.49601564663528103</v>
      </c>
      <c r="S310" s="225">
        <f t="shared" si="386"/>
        <v>14.071365861993788</v>
      </c>
      <c r="T310" s="225">
        <f t="shared" si="387"/>
        <v>1.45</v>
      </c>
      <c r="U310" s="225">
        <f t="shared" si="388"/>
        <v>2.4166666666666665</v>
      </c>
      <c r="V310" s="225">
        <f t="shared" si="389"/>
        <v>4.0498930450426585</v>
      </c>
      <c r="W310" s="205">
        <f t="shared" si="390"/>
        <v>350</v>
      </c>
      <c r="X310" s="456">
        <f t="shared" si="391"/>
        <v>154.64173294329129</v>
      </c>
      <c r="Z310" s="225">
        <f t="shared" si="392"/>
        <v>0.64065860790792084</v>
      </c>
      <c r="AA310" s="181">
        <f t="shared" si="393"/>
        <v>1.7893785106296554</v>
      </c>
      <c r="AB310" s="181">
        <f t="shared" si="394"/>
        <v>0.13083693292634357</v>
      </c>
      <c r="AC310" s="181"/>
      <c r="AD310" s="181">
        <f t="shared" si="395"/>
        <v>0.80997860900853169</v>
      </c>
      <c r="AE310" s="565">
        <f t="shared" si="396"/>
        <v>2401.0851207385545</v>
      </c>
      <c r="AF310" s="548">
        <f t="shared" si="397"/>
        <v>4.1106414407182983E-2</v>
      </c>
      <c r="AH310" s="181">
        <f t="shared" si="398"/>
        <v>0.96258580322557652</v>
      </c>
      <c r="AI310" s="181">
        <f t="shared" si="399"/>
        <v>1.45</v>
      </c>
      <c r="AJ310" s="181">
        <f t="shared" si="400"/>
        <v>2.0592592592592593</v>
      </c>
      <c r="AL310" s="565">
        <f t="shared" si="401"/>
        <v>282</v>
      </c>
      <c r="AM310" s="474">
        <f t="shared" si="402"/>
        <v>154.64173294329129</v>
      </c>
      <c r="AO310" t="str">
        <f t="shared" si="403"/>
        <v/>
      </c>
      <c r="AP310" t="str">
        <f t="shared" si="404"/>
        <v/>
      </c>
      <c r="AR310" s="6">
        <f t="shared" si="374"/>
        <v>6.4665597117093245</v>
      </c>
      <c r="AS310" s="6">
        <f t="shared" si="407"/>
        <v>2.4166666666666665</v>
      </c>
      <c r="AT310" s="6">
        <f t="shared" si="408"/>
        <v>4.0498930450426585</v>
      </c>
      <c r="AU310" s="181">
        <f t="shared" si="409"/>
        <v>0.37371752127962055</v>
      </c>
      <c r="CB310" s="583">
        <f t="shared" si="405"/>
        <v>-50</v>
      </c>
    </row>
    <row r="311" spans="5:80" x14ac:dyDescent="0.2">
      <c r="E311" s="178">
        <v>95</v>
      </c>
      <c r="F311" s="225">
        <f t="shared" si="406"/>
        <v>0.28499999999999998</v>
      </c>
      <c r="G311" s="225">
        <f t="shared" si="375"/>
        <v>0.28499999999999998</v>
      </c>
      <c r="H311" s="225">
        <f t="shared" si="376"/>
        <v>4.2749999999999995</v>
      </c>
      <c r="I311" s="225">
        <f t="shared" si="377"/>
        <v>2.2799999999999998</v>
      </c>
      <c r="J311" s="561">
        <f t="shared" si="378"/>
        <v>24</v>
      </c>
      <c r="K311" s="456">
        <f t="shared" si="379"/>
        <v>14.173246221341223</v>
      </c>
      <c r="L311" s="456">
        <f t="shared" si="380"/>
        <v>39.25</v>
      </c>
      <c r="M311" s="456"/>
      <c r="N311" s="225">
        <f t="shared" si="381"/>
        <v>0.38853503184713378</v>
      </c>
      <c r="O311" s="180">
        <f t="shared" si="382"/>
        <v>3.9681251730822482</v>
      </c>
      <c r="P311" s="180">
        <f t="shared" si="383"/>
        <v>3.2450445859872605</v>
      </c>
      <c r="Q311" s="225">
        <f t="shared" si="384"/>
        <v>0.26454167820548319</v>
      </c>
      <c r="R311" s="225">
        <f t="shared" si="385"/>
        <v>0.49601564663528103</v>
      </c>
      <c r="S311" s="225">
        <f t="shared" si="386"/>
        <v>13.923246221341223</v>
      </c>
      <c r="T311" s="225">
        <f t="shared" si="387"/>
        <v>1.45</v>
      </c>
      <c r="U311" s="225">
        <f t="shared" si="388"/>
        <v>2.4166666666666665</v>
      </c>
      <c r="V311" s="225">
        <f t="shared" si="389"/>
        <v>4.0922170612309756</v>
      </c>
      <c r="W311" s="205">
        <f t="shared" si="390"/>
        <v>350</v>
      </c>
      <c r="X311" s="456">
        <f t="shared" si="391"/>
        <v>153.63617508082268</v>
      </c>
      <c r="Z311" s="225">
        <f t="shared" si="392"/>
        <v>0.63649272533483692</v>
      </c>
      <c r="AA311" s="181">
        <f t="shared" si="393"/>
        <v>1.7963216482514626</v>
      </c>
      <c r="AB311" s="181">
        <f t="shared" si="394"/>
        <v>0.13049053745078443</v>
      </c>
      <c r="AC311" s="181"/>
      <c r="AD311" s="181">
        <f t="shared" si="395"/>
        <v>0.81844341224619499</v>
      </c>
      <c r="AE311" s="565">
        <f t="shared" si="396"/>
        <v>2401.5310184793393</v>
      </c>
      <c r="AF311" s="548">
        <f t="shared" si="397"/>
        <v>4.1536003171494397E-2</v>
      </c>
      <c r="AH311" s="181">
        <f t="shared" si="398"/>
        <v>0.96769239504533222</v>
      </c>
      <c r="AI311" s="181">
        <f t="shared" si="399"/>
        <v>1.45</v>
      </c>
      <c r="AJ311" s="181">
        <f t="shared" si="400"/>
        <v>2.0592592592592593</v>
      </c>
      <c r="AL311" s="565">
        <f t="shared" si="401"/>
        <v>285</v>
      </c>
      <c r="AM311" s="474">
        <f t="shared" si="402"/>
        <v>153.63617508082268</v>
      </c>
      <c r="AO311" t="str">
        <f t="shared" si="403"/>
        <v/>
      </c>
      <c r="AP311" t="str">
        <f t="shared" si="404"/>
        <v/>
      </c>
      <c r="AR311" s="6">
        <f t="shared" si="374"/>
        <v>6.5088837278976426</v>
      </c>
      <c r="AS311" s="6">
        <f t="shared" si="407"/>
        <v>2.4166666666666665</v>
      </c>
      <c r="AT311" s="6">
        <f t="shared" si="408"/>
        <v>4.0922170612309756</v>
      </c>
      <c r="AU311" s="181">
        <f t="shared" si="409"/>
        <v>0.37128742311198809</v>
      </c>
      <c r="CB311" s="583">
        <f t="shared" si="405"/>
        <v>-50</v>
      </c>
    </row>
    <row r="312" spans="5:80" x14ac:dyDescent="0.2">
      <c r="E312" s="178">
        <v>96</v>
      </c>
      <c r="F312" s="225">
        <f t="shared" si="406"/>
        <v>0.28799999999999998</v>
      </c>
      <c r="G312" s="225">
        <f t="shared" si="375"/>
        <v>0.28799999999999998</v>
      </c>
      <c r="H312" s="225">
        <f t="shared" si="376"/>
        <v>4.3199999999999994</v>
      </c>
      <c r="I312" s="225">
        <f t="shared" si="377"/>
        <v>2.3039999999999998</v>
      </c>
      <c r="J312" s="561">
        <f t="shared" si="378"/>
        <v>24</v>
      </c>
      <c r="K312" s="456">
        <f t="shared" si="379"/>
        <v>14.028212406535586</v>
      </c>
      <c r="L312" s="456">
        <f t="shared" si="380"/>
        <v>39.25</v>
      </c>
      <c r="M312" s="456"/>
      <c r="N312" s="225">
        <f t="shared" si="381"/>
        <v>0.38853503184713378</v>
      </c>
      <c r="O312" s="180">
        <f t="shared" ref="O312:O316" si="410">N312*J312*Isw_max*0.5*Efficiency*Pout/(Pout+Pout2)</f>
        <v>3.9681251730822482</v>
      </c>
      <c r="P312" s="180">
        <f t="shared" si="383"/>
        <v>3.2450445859872605</v>
      </c>
      <c r="Q312" s="225">
        <f t="shared" si="384"/>
        <v>0.26454167820548319</v>
      </c>
      <c r="R312" s="225">
        <f t="shared" si="385"/>
        <v>0.49601564663528103</v>
      </c>
      <c r="S312" s="225">
        <f t="shared" si="386"/>
        <v>13.778212406535586</v>
      </c>
      <c r="T312" s="225">
        <f t="shared" si="387"/>
        <v>1.45</v>
      </c>
      <c r="U312" s="225">
        <f t="shared" si="388"/>
        <v>2.4166666666666665</v>
      </c>
      <c r="V312" s="225">
        <f t="shared" si="389"/>
        <v>4.1345253635437151</v>
      </c>
      <c r="W312" s="205">
        <f t="shared" si="390"/>
        <v>350</v>
      </c>
      <c r="X312" s="456">
        <f t="shared" si="391"/>
        <v>152.64397614793876</v>
      </c>
      <c r="Z312" s="225">
        <f t="shared" si="392"/>
        <v>0.63238218689860337</v>
      </c>
      <c r="AA312" s="181">
        <f t="shared" si="393"/>
        <v>1.8031725456451848</v>
      </c>
      <c r="AB312" s="181">
        <f t="shared" ref="AB312:AB316" si="411">0.5*AA312*Z312*Nps*W312/1000*(Pout/(Pout+Pout2))</f>
        <v>0.13014227257164726</v>
      </c>
      <c r="AC312" s="181"/>
      <c r="AD312" s="181">
        <f t="shared" si="395"/>
        <v>0.82690507270874314</v>
      </c>
      <c r="AE312" s="565">
        <f t="shared" ref="AE312:AE316" si="412">MAX(10, F312/(0.5*AD312/1000000*Isw_min*Nps)/1000*Pout_total/Pout)</f>
        <v>2401.9769162201237</v>
      </c>
      <c r="AF312" s="548">
        <f t="shared" si="397"/>
        <v>4.1965432439968711E-2</v>
      </c>
      <c r="AH312" s="181">
        <f t="shared" si="398"/>
        <v>0.97277218005333288</v>
      </c>
      <c r="AI312" s="181">
        <f t="shared" ref="AI312:AI316" si="413">MAX(IF(F312&gt;AB312,T312,AH312),Isw_min)</f>
        <v>1.45</v>
      </c>
      <c r="AJ312" s="181">
        <f t="shared" ref="AJ312:AJ316" si="414">IF(F312&gt;AF312, (AI312-Isw_min)/1.08*0.8+1.2, AE312*0.2/350+1)</f>
        <v>2.0592592592592593</v>
      </c>
      <c r="AL312" s="565">
        <f t="shared" si="401"/>
        <v>288</v>
      </c>
      <c r="AM312" s="474">
        <f t="shared" si="402"/>
        <v>152.64397614793876</v>
      </c>
      <c r="AO312" t="str">
        <f t="shared" si="403"/>
        <v/>
      </c>
      <c r="AP312" t="str">
        <f t="shared" si="404"/>
        <v/>
      </c>
      <c r="AR312" s="6">
        <f t="shared" si="374"/>
        <v>6.5511920302103821</v>
      </c>
      <c r="AS312" s="6">
        <f t="shared" si="407"/>
        <v>2.4166666666666665</v>
      </c>
      <c r="AT312" s="6">
        <f t="shared" si="408"/>
        <v>4.134525363543716</v>
      </c>
      <c r="AU312" s="181">
        <f t="shared" si="409"/>
        <v>0.36888960902418527</v>
      </c>
      <c r="CB312" s="583">
        <f t="shared" si="405"/>
        <v>-50</v>
      </c>
    </row>
    <row r="313" spans="5:80" x14ac:dyDescent="0.2">
      <c r="E313" s="178">
        <v>97</v>
      </c>
      <c r="F313" s="225">
        <f t="shared" ref="F313:F316" si="415">IF(PLOT_TYPE=1, E313/100*Iout_max, min_I*EXP(O313*rr/100))</f>
        <v>0.29099999999999998</v>
      </c>
      <c r="G313" s="225">
        <f t="shared" si="375"/>
        <v>0.29099999999999998</v>
      </c>
      <c r="H313" s="225">
        <f t="shared" si="376"/>
        <v>4.3649999999999993</v>
      </c>
      <c r="I313" s="225">
        <f t="shared" si="377"/>
        <v>2.3279999999999998</v>
      </c>
      <c r="J313" s="561">
        <f t="shared" si="378"/>
        <v>24</v>
      </c>
      <c r="K313" s="456">
        <f t="shared" si="379"/>
        <v>13.886168979664085</v>
      </c>
      <c r="L313" s="456">
        <f t="shared" si="380"/>
        <v>39.25</v>
      </c>
      <c r="M313" s="456"/>
      <c r="N313" s="225">
        <f t="shared" si="381"/>
        <v>0.38853503184713378</v>
      </c>
      <c r="O313" s="180">
        <f t="shared" si="410"/>
        <v>3.9681251730822482</v>
      </c>
      <c r="P313" s="180">
        <f t="shared" si="383"/>
        <v>3.2450445859872605</v>
      </c>
      <c r="Q313" s="225">
        <f t="shared" si="384"/>
        <v>0.26454167820548319</v>
      </c>
      <c r="R313" s="225">
        <f t="shared" si="385"/>
        <v>0.49601564663528103</v>
      </c>
      <c r="S313" s="225">
        <f t="shared" si="386"/>
        <v>13.636168979664085</v>
      </c>
      <c r="T313" s="225">
        <f t="shared" si="387"/>
        <v>1.45</v>
      </c>
      <c r="U313" s="225">
        <f t="shared" si="388"/>
        <v>2.4166666666666665</v>
      </c>
      <c r="V313" s="225">
        <f t="shared" si="389"/>
        <v>4.1768179607305242</v>
      </c>
      <c r="W313" s="205">
        <f t="shared" si="390"/>
        <v>350</v>
      </c>
      <c r="X313" s="456">
        <f t="shared" si="391"/>
        <v>151.66487168936567</v>
      </c>
      <c r="Z313" s="225">
        <f t="shared" si="392"/>
        <v>0.6283258969988007</v>
      </c>
      <c r="AA313" s="181">
        <f t="shared" si="393"/>
        <v>1.8099330288115227</v>
      </c>
      <c r="AB313" s="181">
        <f t="shared" si="411"/>
        <v>0.12979230255734175</v>
      </c>
      <c r="AC313" s="181"/>
      <c r="AD313" s="181">
        <f t="shared" si="395"/>
        <v>0.83536359214610489</v>
      </c>
      <c r="AE313" s="565">
        <f t="shared" si="412"/>
        <v>2402.422813960909</v>
      </c>
      <c r="AF313" s="548">
        <f t="shared" si="397"/>
        <v>4.2394702301414816E-2</v>
      </c>
      <c r="AH313" s="181">
        <f t="shared" si="398"/>
        <v>0.97782557603227838</v>
      </c>
      <c r="AI313" s="181">
        <f t="shared" si="413"/>
        <v>1.45</v>
      </c>
      <c r="AJ313" s="181">
        <f t="shared" si="414"/>
        <v>2.0592592592592593</v>
      </c>
      <c r="AL313" s="565">
        <f t="shared" si="401"/>
        <v>291</v>
      </c>
      <c r="AM313" s="474">
        <f t="shared" si="402"/>
        <v>151.66487168936567</v>
      </c>
      <c r="AO313" t="str">
        <f t="shared" si="403"/>
        <v/>
      </c>
      <c r="AP313" t="str">
        <f t="shared" si="404"/>
        <v/>
      </c>
      <c r="AR313" s="6">
        <f t="shared" si="374"/>
        <v>6.5934846273971912</v>
      </c>
      <c r="AS313" s="6">
        <f t="shared" si="407"/>
        <v>2.4166666666666665</v>
      </c>
      <c r="AT313" s="6">
        <f t="shared" si="408"/>
        <v>4.1768179607305242</v>
      </c>
      <c r="AU313" s="181">
        <f t="shared" si="409"/>
        <v>0.36652343991596703</v>
      </c>
      <c r="CB313" s="583">
        <f t="shared" si="405"/>
        <v>-50</v>
      </c>
    </row>
    <row r="314" spans="5:80" x14ac:dyDescent="0.2">
      <c r="E314" s="178">
        <v>98</v>
      </c>
      <c r="F314" s="225">
        <f t="shared" si="415"/>
        <v>0.29399999999999998</v>
      </c>
      <c r="G314" s="225">
        <f t="shared" si="375"/>
        <v>0.29399999999999998</v>
      </c>
      <c r="H314" s="225">
        <f t="shared" si="376"/>
        <v>4.41</v>
      </c>
      <c r="I314" s="225">
        <f t="shared" si="377"/>
        <v>2.3519999999999999</v>
      </c>
      <c r="J314" s="561">
        <f t="shared" si="378"/>
        <v>24</v>
      </c>
      <c r="K314" s="456">
        <f t="shared" si="379"/>
        <v>13.74702439823894</v>
      </c>
      <c r="L314" s="456">
        <f t="shared" si="380"/>
        <v>39.25</v>
      </c>
      <c r="M314" s="456"/>
      <c r="N314" s="225">
        <f t="shared" si="381"/>
        <v>0.38853503184713378</v>
      </c>
      <c r="O314" s="180">
        <f t="shared" si="410"/>
        <v>3.9681251730822482</v>
      </c>
      <c r="P314" s="180">
        <f t="shared" si="383"/>
        <v>3.2450445859872605</v>
      </c>
      <c r="Q314" s="225">
        <f t="shared" si="384"/>
        <v>0.26454167820548319</v>
      </c>
      <c r="R314" s="225">
        <f t="shared" si="385"/>
        <v>0.49601564663528103</v>
      </c>
      <c r="S314" s="225">
        <f t="shared" si="386"/>
        <v>13.49702439823894</v>
      </c>
      <c r="T314" s="225">
        <f t="shared" si="387"/>
        <v>1.45</v>
      </c>
      <c r="U314" s="225">
        <f t="shared" si="388"/>
        <v>2.4166666666666665</v>
      </c>
      <c r="V314" s="225">
        <f t="shared" si="389"/>
        <v>4.2190948615345496</v>
      </c>
      <c r="W314" s="205">
        <f t="shared" si="390"/>
        <v>350</v>
      </c>
      <c r="X314" s="456">
        <f t="shared" si="391"/>
        <v>150.69860418433001</v>
      </c>
      <c r="Z314" s="225">
        <f t="shared" si="392"/>
        <v>0.62432278876365288</v>
      </c>
      <c r="AA314" s="181">
        <f t="shared" si="393"/>
        <v>1.8166048758701021</v>
      </c>
      <c r="AB314" s="181">
        <f t="shared" si="411"/>
        <v>0.12944078405370818</v>
      </c>
      <c r="AC314" s="181"/>
      <c r="AD314" s="181">
        <f t="shared" si="395"/>
        <v>0.84381897230691005</v>
      </c>
      <c r="AE314" s="565">
        <f t="shared" si="412"/>
        <v>2402.868711701693</v>
      </c>
      <c r="AF314" s="548">
        <f t="shared" si="397"/>
        <v>4.2823812844575683E-2</v>
      </c>
      <c r="AH314" s="181">
        <f t="shared" si="398"/>
        <v>0.98285299002444915</v>
      </c>
      <c r="AI314" s="181">
        <f t="shared" si="413"/>
        <v>1.45</v>
      </c>
      <c r="AJ314" s="181">
        <f t="shared" si="414"/>
        <v>2.0592592592592593</v>
      </c>
      <c r="AL314" s="565">
        <f t="shared" si="401"/>
        <v>294</v>
      </c>
      <c r="AM314" s="474">
        <f t="shared" si="402"/>
        <v>150.69860418433001</v>
      </c>
      <c r="AO314" t="str">
        <f t="shared" si="403"/>
        <v/>
      </c>
      <c r="AP314" t="str">
        <f t="shared" si="404"/>
        <v/>
      </c>
      <c r="AR314" s="6">
        <f t="shared" si="374"/>
        <v>6.6357615282012166</v>
      </c>
      <c r="AS314" s="6">
        <f t="shared" si="407"/>
        <v>2.4166666666666665</v>
      </c>
      <c r="AT314" s="6">
        <f t="shared" si="408"/>
        <v>4.2190948615345505</v>
      </c>
      <c r="AU314" s="181">
        <f t="shared" si="409"/>
        <v>0.36418829344546416</v>
      </c>
      <c r="CB314" s="583">
        <f t="shared" si="405"/>
        <v>-50</v>
      </c>
    </row>
    <row r="315" spans="5:80" x14ac:dyDescent="0.2">
      <c r="E315" s="178">
        <v>99</v>
      </c>
      <c r="F315" s="225">
        <f t="shared" si="415"/>
        <v>0.29699999999999999</v>
      </c>
      <c r="G315" s="225">
        <f t="shared" si="375"/>
        <v>0.29699999999999999</v>
      </c>
      <c r="H315" s="225">
        <f t="shared" si="376"/>
        <v>4.4550000000000001</v>
      </c>
      <c r="I315" s="225">
        <f t="shared" si="377"/>
        <v>2.3759999999999999</v>
      </c>
      <c r="J315" s="561">
        <f t="shared" si="378"/>
        <v>24</v>
      </c>
      <c r="K315" s="456">
        <f t="shared" si="379"/>
        <v>13.61069081845875</v>
      </c>
      <c r="L315" s="456">
        <f t="shared" si="380"/>
        <v>39.25</v>
      </c>
      <c r="M315" s="456"/>
      <c r="N315" s="225">
        <f t="shared" si="381"/>
        <v>0.38853503184713378</v>
      </c>
      <c r="O315" s="180">
        <f t="shared" si="410"/>
        <v>3.9681251730822482</v>
      </c>
      <c r="P315" s="180">
        <f t="shared" si="383"/>
        <v>3.2450445859872605</v>
      </c>
      <c r="Q315" s="225">
        <f t="shared" si="384"/>
        <v>0.26454167820548319</v>
      </c>
      <c r="R315" s="225">
        <f t="shared" si="385"/>
        <v>0.49601564663528103</v>
      </c>
      <c r="S315" s="225">
        <f t="shared" si="386"/>
        <v>13.36069081845875</v>
      </c>
      <c r="T315" s="225">
        <f t="shared" si="387"/>
        <v>1.45</v>
      </c>
      <c r="U315" s="225">
        <f t="shared" si="388"/>
        <v>2.4166666666666665</v>
      </c>
      <c r="V315" s="225">
        <f t="shared" si="389"/>
        <v>4.2613560746924541</v>
      </c>
      <c r="W315" s="205">
        <f t="shared" si="390"/>
        <v>350</v>
      </c>
      <c r="X315" s="456">
        <f t="shared" si="391"/>
        <v>149.74492282074479</v>
      </c>
      <c r="Z315" s="225">
        <f t="shared" si="392"/>
        <v>0.62037182311451411</v>
      </c>
      <c r="AA315" s="181">
        <f t="shared" si="393"/>
        <v>1.8231898186186672</v>
      </c>
      <c r="AB315" s="181">
        <f t="shared" si="411"/>
        <v>0.12908786643948883</v>
      </c>
      <c r="AC315" s="181"/>
      <c r="AD315" s="181">
        <f t="shared" si="395"/>
        <v>0.8522712149384909</v>
      </c>
      <c r="AE315" s="565">
        <f t="shared" si="412"/>
        <v>2403.3146094424783</v>
      </c>
      <c r="AF315" s="548">
        <f t="shared" si="397"/>
        <v>4.3252764158128398E-2</v>
      </c>
      <c r="AH315" s="181">
        <f t="shared" si="398"/>
        <v>0.98785481871434055</v>
      </c>
      <c r="AI315" s="181">
        <f t="shared" si="413"/>
        <v>1.45</v>
      </c>
      <c r="AJ315" s="181">
        <f t="shared" si="414"/>
        <v>2.0592592592592593</v>
      </c>
      <c r="AL315" s="565">
        <f t="shared" si="401"/>
        <v>297</v>
      </c>
      <c r="AM315" s="474">
        <f t="shared" si="402"/>
        <v>149.74492282074479</v>
      </c>
      <c r="AO315" t="str">
        <f t="shared" si="403"/>
        <v/>
      </c>
      <c r="AP315" t="str">
        <f t="shared" si="404"/>
        <v/>
      </c>
      <c r="AR315" s="6">
        <f t="shared" si="374"/>
        <v>6.6780227413591202</v>
      </c>
      <c r="AS315" s="6">
        <f t="shared" si="407"/>
        <v>2.4166666666666665</v>
      </c>
      <c r="AT315" s="6">
        <f t="shared" si="408"/>
        <v>4.2613560746924541</v>
      </c>
      <c r="AU315" s="181">
        <f t="shared" si="409"/>
        <v>0.36188356348346656</v>
      </c>
      <c r="CB315" s="583">
        <f t="shared" si="405"/>
        <v>-50</v>
      </c>
    </row>
    <row r="316" spans="5:80" x14ac:dyDescent="0.2">
      <c r="E316" s="178">
        <v>100</v>
      </c>
      <c r="F316" s="225">
        <f t="shared" si="415"/>
        <v>0.3</v>
      </c>
      <c r="G316" s="225">
        <f t="shared" si="375"/>
        <v>0.3</v>
      </c>
      <c r="H316" s="225">
        <f t="shared" si="376"/>
        <v>4.5</v>
      </c>
      <c r="I316" s="225">
        <f t="shared" si="377"/>
        <v>2.4</v>
      </c>
      <c r="J316" s="561">
        <f t="shared" si="378"/>
        <v>24</v>
      </c>
      <c r="K316" s="456">
        <f t="shared" si="379"/>
        <v>13.47708391027416</v>
      </c>
      <c r="L316" s="456">
        <f t="shared" si="380"/>
        <v>39.25</v>
      </c>
      <c r="M316" s="456"/>
      <c r="N316" s="225">
        <f t="shared" si="381"/>
        <v>0.38853503184713378</v>
      </c>
      <c r="O316" s="180">
        <f t="shared" si="410"/>
        <v>3.9681251730822482</v>
      </c>
      <c r="P316" s="180">
        <f t="shared" si="383"/>
        <v>3.2450445859872605</v>
      </c>
      <c r="Q316" s="225">
        <f t="shared" si="384"/>
        <v>0.26454167820548319</v>
      </c>
      <c r="R316" s="225">
        <f t="shared" si="385"/>
        <v>0.49601564663528103</v>
      </c>
      <c r="S316" s="225">
        <f t="shared" si="386"/>
        <v>13.22708391027416</v>
      </c>
      <c r="T316" s="225">
        <f t="shared" si="387"/>
        <v>1.45</v>
      </c>
      <c r="U316" s="225">
        <f t="shared" si="388"/>
        <v>2.4166666666666665</v>
      </c>
      <c r="V316" s="225">
        <f t="shared" si="389"/>
        <v>4.3036016089344153</v>
      </c>
      <c r="W316" s="205">
        <f t="shared" si="390"/>
        <v>350</v>
      </c>
      <c r="X316" s="456">
        <f t="shared" si="391"/>
        <v>148.80358327816262</v>
      </c>
      <c r="Z316" s="225">
        <f t="shared" si="392"/>
        <v>0.61647198786667368</v>
      </c>
      <c r="AA316" s="181">
        <f t="shared" si="393"/>
        <v>1.8296895440317342</v>
      </c>
      <c r="AB316" s="181">
        <f t="shared" si="411"/>
        <v>0.12873369216386049</v>
      </c>
      <c r="AC316" s="181"/>
      <c r="AD316" s="181">
        <f t="shared" si="395"/>
        <v>0.86072032178688307</v>
      </c>
      <c r="AE316" s="565">
        <f t="shared" si="412"/>
        <v>2403.7605071832627</v>
      </c>
      <c r="AF316" s="548">
        <f t="shared" si="397"/>
        <v>4.3681556330684317E-2</v>
      </c>
      <c r="AH316" s="181">
        <f t="shared" si="398"/>
        <v>0.99283144879394591</v>
      </c>
      <c r="AI316" s="181">
        <f t="shared" si="413"/>
        <v>1.45</v>
      </c>
      <c r="AJ316" s="181">
        <f t="shared" si="414"/>
        <v>2.0592592592592593</v>
      </c>
      <c r="AL316" s="565">
        <f t="shared" si="401"/>
        <v>300</v>
      </c>
      <c r="AM316" s="474">
        <f t="shared" si="402"/>
        <v>148.80358327816262</v>
      </c>
      <c r="AO316" t="str">
        <f t="shared" si="403"/>
        <v/>
      </c>
      <c r="AP316" t="str">
        <f t="shared" si="404"/>
        <v/>
      </c>
      <c r="AR316" s="6">
        <f t="shared" si="374"/>
        <v>6.7202682756010823</v>
      </c>
      <c r="AS316" s="6">
        <f t="shared" si="407"/>
        <v>2.4166666666666665</v>
      </c>
      <c r="AT316" s="6">
        <f t="shared" si="408"/>
        <v>4.3036016089344162</v>
      </c>
      <c r="AU316" s="181">
        <f t="shared" si="409"/>
        <v>0.35960865958889299</v>
      </c>
      <c r="CB316" s="583">
        <f t="shared" si="405"/>
        <v>-50</v>
      </c>
    </row>
    <row r="317" spans="5:80" x14ac:dyDescent="0.2">
      <c r="E317" s="178"/>
      <c r="F317" s="225"/>
      <c r="G317" s="225"/>
    </row>
  </sheetData>
  <mergeCells count="1">
    <mergeCell ref="N3:Z3"/>
  </mergeCells>
  <phoneticPr fontId="82" type="noConversion"/>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FF0000"/>
  </sheetPr>
  <dimension ref="C3:S106"/>
  <sheetViews>
    <sheetView workbookViewId="0">
      <selection activeCell="V6" sqref="V6"/>
    </sheetView>
  </sheetViews>
  <sheetFormatPr defaultRowHeight="12.75" x14ac:dyDescent="0.2"/>
  <cols>
    <col min="3" max="3" width="7.7109375" customWidth="1"/>
    <col min="5" max="5" width="10.28515625" customWidth="1"/>
    <col min="7" max="7" width="10.7109375" customWidth="1"/>
    <col min="8" max="8" width="9.7109375" customWidth="1"/>
    <col min="9" max="9" width="9.5703125" customWidth="1"/>
    <col min="10" max="10" width="8.7109375" customWidth="1"/>
    <col min="11" max="11" width="9.85546875" customWidth="1"/>
    <col min="12" max="12" width="10.7109375" customWidth="1"/>
    <col min="13" max="13" width="15" customWidth="1"/>
    <col min="14" max="14" width="11.42578125" customWidth="1"/>
    <col min="15" max="16" width="11" customWidth="1"/>
    <col min="17" max="17" width="11.140625" customWidth="1"/>
    <col min="18" max="18" width="11.28515625" customWidth="1"/>
    <col min="19" max="19" width="5.140625" customWidth="1"/>
  </cols>
  <sheetData>
    <row r="3" spans="3:19" ht="13.5" thickBot="1" x14ac:dyDescent="0.25"/>
    <row r="4" spans="3:19" x14ac:dyDescent="0.2">
      <c r="C4" s="228" t="s">
        <v>434</v>
      </c>
      <c r="D4" s="229"/>
      <c r="E4" s="230"/>
      <c r="F4" s="687" t="s">
        <v>190</v>
      </c>
      <c r="G4" s="688"/>
      <c r="H4" s="687"/>
      <c r="I4" s="687"/>
      <c r="J4" s="687"/>
      <c r="K4" s="688"/>
      <c r="L4" s="688"/>
      <c r="M4" s="688"/>
      <c r="N4" s="687"/>
      <c r="O4" s="690"/>
      <c r="P4" s="553"/>
      <c r="Q4" s="553"/>
      <c r="R4" s="553"/>
      <c r="S4" s="553"/>
    </row>
    <row r="5" spans="3:19" ht="45" customHeight="1" thickBot="1" x14ac:dyDescent="0.25">
      <c r="C5" s="249" t="s">
        <v>25</v>
      </c>
      <c r="D5" s="250" t="s">
        <v>425</v>
      </c>
      <c r="E5" s="251" t="s">
        <v>431</v>
      </c>
      <c r="F5" s="252" t="s">
        <v>48</v>
      </c>
      <c r="G5" s="547" t="s">
        <v>415</v>
      </c>
      <c r="H5" s="547" t="s">
        <v>416</v>
      </c>
      <c r="I5" s="547" t="s">
        <v>426</v>
      </c>
      <c r="J5" s="547" t="s">
        <v>427</v>
      </c>
      <c r="K5" s="547" t="s">
        <v>428</v>
      </c>
      <c r="L5" s="547" t="s">
        <v>429</v>
      </c>
      <c r="M5" s="254" t="s">
        <v>432</v>
      </c>
      <c r="N5" s="253" t="s">
        <v>433</v>
      </c>
      <c r="O5" s="253" t="s">
        <v>430</v>
      </c>
      <c r="P5" s="253" t="s">
        <v>435</v>
      </c>
      <c r="Q5" s="253" t="s">
        <v>436</v>
      </c>
      <c r="R5" s="253" t="s">
        <v>437</v>
      </c>
      <c r="S5" s="253"/>
    </row>
    <row r="6" spans="3:19" x14ac:dyDescent="0.2">
      <c r="C6" s="178">
        <v>0.1</v>
      </c>
      <c r="D6" s="549">
        <f>VIN_min</f>
        <v>7</v>
      </c>
      <c r="E6" s="456">
        <f t="shared" ref="E6:E37" si="0">(Vout+Vfwd1)*Nps</f>
        <v>15.25</v>
      </c>
      <c r="F6" s="225">
        <f t="shared" ref="F6:F37" si="1">(Vout+Vfwd1)*Nps/((Vout+Vfwd1)*Nps+D6)</f>
        <v>0.6853932584269663</v>
      </c>
      <c r="G6" s="180">
        <f t="shared" ref="G6:G37" si="2">F6*D6*Isw_max*0.5*Efficiency</f>
        <v>3.1305337078651685</v>
      </c>
      <c r="H6" s="225">
        <f t="shared" ref="H6:H37" si="3">G6/Vout</f>
        <v>0.20870224719101124</v>
      </c>
      <c r="I6" s="456">
        <f t="shared" ref="I6:I37" si="4">(Vout+Vfwd1)*Nps+D6</f>
        <v>22.25</v>
      </c>
      <c r="J6" s="180">
        <f t="shared" ref="J6:J37" si="5">MIN(2*Vout*Iout/(Efficiency*D6*F6), 1.35)</f>
        <v>1.35</v>
      </c>
      <c r="K6" s="180">
        <f t="shared" ref="K6:K37" si="6">L*J6/D6*1000000</f>
        <v>7.7142857142857153</v>
      </c>
      <c r="L6" s="180">
        <f t="shared" ref="L6:L37" si="7">L*J6/((Vout+Vfwd1)*Nps)*1000000</f>
        <v>3.5409836065573774</v>
      </c>
      <c r="M6" s="456">
        <f>MIN(1/(K6+L6)*1000, 350)</f>
        <v>88.847274240532656</v>
      </c>
      <c r="N6" s="205">
        <f t="shared" ref="N6:N37" si="8">IF(1/((350000*L)*(1/D6+1/E6))&gt;Isw_min, 350, 0.001/((Isw_min*L)*(1/D6+1/E6)))</f>
        <v>350</v>
      </c>
      <c r="O6" s="225">
        <f t="shared" ref="O6:O37" si="9">1/((N6*1000*L)*(1/D6+1/E6))</f>
        <v>0.34269662921348309</v>
      </c>
      <c r="P6" s="181">
        <f t="shared" ref="P6:P37" si="10">L*O6/E6*1000000</f>
        <v>0.89887640449438189</v>
      </c>
      <c r="Q6" s="181">
        <f t="shared" ref="Q6:Q37" si="11">0.5*P6*O6*Nps*N6/1000</f>
        <v>5.3907334932458008E-2</v>
      </c>
      <c r="R6" s="181">
        <f t="shared" ref="R6:R37" si="12">L*Isw_min/E6*1000000</f>
        <v>0.76065573770491812</v>
      </c>
    </row>
    <row r="7" spans="3:19" x14ac:dyDescent="0.2">
      <c r="C7" s="178">
        <v>1</v>
      </c>
      <c r="D7" s="6">
        <f t="shared" ref="D7:D38" si="13">C7/100*(VIN_max-VIN_min)+VIN_min</f>
        <v>7.17</v>
      </c>
      <c r="E7" s="456">
        <f t="shared" si="0"/>
        <v>15.25</v>
      </c>
      <c r="F7" s="225">
        <f t="shared" si="1"/>
        <v>0.68019625334522738</v>
      </c>
      <c r="G7" s="180">
        <f t="shared" si="2"/>
        <v>3.1822471565566453</v>
      </c>
      <c r="H7" s="225">
        <f t="shared" si="3"/>
        <v>0.21214981043710968</v>
      </c>
      <c r="I7" s="456">
        <f t="shared" si="4"/>
        <v>22.42</v>
      </c>
      <c r="J7" s="180">
        <f t="shared" si="5"/>
        <v>1.35</v>
      </c>
      <c r="K7" s="180">
        <f t="shared" si="6"/>
        <v>7.5313807531380759</v>
      </c>
      <c r="L7" s="180">
        <f t="shared" si="7"/>
        <v>3.5409836065573774</v>
      </c>
      <c r="M7" s="456">
        <f t="shared" ref="M7:M70" si="14">MIN(1/(K7+L7)*1000, 350)</f>
        <v>90.314946971949652</v>
      </c>
      <c r="N7" s="205">
        <f t="shared" si="8"/>
        <v>350</v>
      </c>
      <c r="O7" s="225">
        <f t="shared" si="9"/>
        <v>0.34835765260609147</v>
      </c>
      <c r="P7" s="181">
        <f t="shared" si="10"/>
        <v>0.91372499044220712</v>
      </c>
      <c r="Q7" s="181">
        <f t="shared" si="11"/>
        <v>5.5703041239644861E-2</v>
      </c>
      <c r="R7" s="181">
        <f t="shared" si="12"/>
        <v>0.76065573770491812</v>
      </c>
    </row>
    <row r="8" spans="3:19" x14ac:dyDescent="0.2">
      <c r="C8" s="178">
        <v>2</v>
      </c>
      <c r="D8" s="6">
        <f t="shared" si="13"/>
        <v>7.34</v>
      </c>
      <c r="E8" s="456">
        <f t="shared" si="0"/>
        <v>15.25</v>
      </c>
      <c r="F8" s="225">
        <f t="shared" si="1"/>
        <v>0.67507746790615319</v>
      </c>
      <c r="G8" s="180">
        <f t="shared" si="2"/>
        <v>3.2331822709163349</v>
      </c>
      <c r="H8" s="225">
        <f t="shared" si="3"/>
        <v>0.21554548472775567</v>
      </c>
      <c r="I8" s="456">
        <f t="shared" si="4"/>
        <v>22.59</v>
      </c>
      <c r="J8" s="180">
        <f t="shared" si="5"/>
        <v>1.35</v>
      </c>
      <c r="K8" s="180">
        <f t="shared" si="6"/>
        <v>7.3569482288828345</v>
      </c>
      <c r="L8" s="180">
        <f t="shared" si="7"/>
        <v>3.5409836065573774</v>
      </c>
      <c r="M8" s="456">
        <f t="shared" si="14"/>
        <v>91.760529896873422</v>
      </c>
      <c r="N8" s="205">
        <f t="shared" si="8"/>
        <v>350</v>
      </c>
      <c r="O8" s="225">
        <f t="shared" si="9"/>
        <v>0.35393347245936879</v>
      </c>
      <c r="P8" s="181">
        <f t="shared" si="10"/>
        <v>0.92835009169670513</v>
      </c>
      <c r="Q8" s="181">
        <f t="shared" si="11"/>
        <v>5.7500480032132949E-2</v>
      </c>
      <c r="R8" s="181">
        <f t="shared" si="12"/>
        <v>0.76065573770491812</v>
      </c>
    </row>
    <row r="9" spans="3:19" x14ac:dyDescent="0.2">
      <c r="C9" s="178">
        <v>3</v>
      </c>
      <c r="D9" s="6">
        <f t="shared" si="13"/>
        <v>7.51</v>
      </c>
      <c r="E9" s="456">
        <f t="shared" si="0"/>
        <v>15.25</v>
      </c>
      <c r="F9" s="225">
        <f t="shared" si="1"/>
        <v>0.67003514938488584</v>
      </c>
      <c r="G9" s="180">
        <f t="shared" si="2"/>
        <v>3.2833564916520217</v>
      </c>
      <c r="H9" s="225">
        <f t="shared" si="3"/>
        <v>0.21889043277680145</v>
      </c>
      <c r="I9" s="456">
        <f t="shared" si="4"/>
        <v>22.759999999999998</v>
      </c>
      <c r="J9" s="180">
        <f t="shared" si="5"/>
        <v>1.35</v>
      </c>
      <c r="K9" s="180">
        <f t="shared" si="6"/>
        <v>7.1904127829560593</v>
      </c>
      <c r="L9" s="180">
        <f t="shared" si="7"/>
        <v>3.5409836065573774</v>
      </c>
      <c r="M9" s="456">
        <f t="shared" si="14"/>
        <v>93.18451799778687</v>
      </c>
      <c r="N9" s="205">
        <f t="shared" si="8"/>
        <v>350</v>
      </c>
      <c r="O9" s="225">
        <f t="shared" si="9"/>
        <v>0.35942599799146357</v>
      </c>
      <c r="P9" s="181">
        <f t="shared" si="10"/>
        <v>0.94275671604318323</v>
      </c>
      <c r="Q9" s="181">
        <f t="shared" si="11"/>
        <v>5.9298972867220801E-2</v>
      </c>
      <c r="R9" s="181">
        <f t="shared" si="12"/>
        <v>0.76065573770491812</v>
      </c>
    </row>
    <row r="10" spans="3:19" x14ac:dyDescent="0.2">
      <c r="C10" s="178">
        <v>4</v>
      </c>
      <c r="D10" s="6">
        <f t="shared" si="13"/>
        <v>7.68</v>
      </c>
      <c r="E10" s="456">
        <f t="shared" si="0"/>
        <v>15.25</v>
      </c>
      <c r="F10" s="225">
        <f t="shared" si="1"/>
        <v>0.66506759703445273</v>
      </c>
      <c r="G10" s="180">
        <f t="shared" si="2"/>
        <v>3.3327867422590494</v>
      </c>
      <c r="H10" s="225">
        <f t="shared" si="3"/>
        <v>0.22218578281726994</v>
      </c>
      <c r="I10" s="456">
        <f t="shared" si="4"/>
        <v>22.93</v>
      </c>
      <c r="J10" s="180">
        <f t="shared" si="5"/>
        <v>1.35</v>
      </c>
      <c r="K10" s="180">
        <f t="shared" si="6"/>
        <v>7.0312500000000009</v>
      </c>
      <c r="L10" s="180">
        <f t="shared" si="7"/>
        <v>3.5409836065573774</v>
      </c>
      <c r="M10" s="456">
        <f t="shared" si="14"/>
        <v>94.587391578233252</v>
      </c>
      <c r="N10" s="205">
        <f t="shared" si="8"/>
        <v>350</v>
      </c>
      <c r="O10" s="225">
        <f t="shared" si="9"/>
        <v>0.36483708180175684</v>
      </c>
      <c r="P10" s="181">
        <f t="shared" si="10"/>
        <v>0.95694972275870649</v>
      </c>
      <c r="Q10" s="181">
        <f t="shared" si="11"/>
        <v>6.1097880249400174E-2</v>
      </c>
      <c r="R10" s="181">
        <f t="shared" si="12"/>
        <v>0.76065573770491812</v>
      </c>
    </row>
    <row r="11" spans="3:19" x14ac:dyDescent="0.2">
      <c r="C11" s="178">
        <v>5</v>
      </c>
      <c r="D11" s="6">
        <f t="shared" si="13"/>
        <v>7.85</v>
      </c>
      <c r="E11" s="456">
        <f t="shared" si="0"/>
        <v>15.25</v>
      </c>
      <c r="F11" s="225">
        <f t="shared" si="1"/>
        <v>0.66017316017316008</v>
      </c>
      <c r="G11" s="180">
        <f t="shared" si="2"/>
        <v>3.3814894480519468</v>
      </c>
      <c r="H11" s="225">
        <f t="shared" si="3"/>
        <v>0.2254326298701298</v>
      </c>
      <c r="I11" s="456">
        <f t="shared" si="4"/>
        <v>23.1</v>
      </c>
      <c r="J11" s="180">
        <f t="shared" si="5"/>
        <v>1.35</v>
      </c>
      <c r="K11" s="180">
        <f t="shared" si="6"/>
        <v>6.8789808917197455</v>
      </c>
      <c r="L11" s="180">
        <f t="shared" si="7"/>
        <v>3.5409836065573774</v>
      </c>
      <c r="M11" s="456">
        <f t="shared" si="14"/>
        <v>95.969616802950128</v>
      </c>
      <c r="N11" s="205">
        <f t="shared" si="8"/>
        <v>350</v>
      </c>
      <c r="O11" s="225">
        <f t="shared" si="9"/>
        <v>0.37016852195423622</v>
      </c>
      <c r="P11" s="181">
        <f t="shared" si="10"/>
        <v>0.97093382807668527</v>
      </c>
      <c r="Q11" s="181">
        <f t="shared" si="11"/>
        <v>6.2896599509540144E-2</v>
      </c>
      <c r="R11" s="181">
        <f t="shared" si="12"/>
        <v>0.76065573770491812</v>
      </c>
    </row>
    <row r="12" spans="3:19" x14ac:dyDescent="0.2">
      <c r="C12" s="178">
        <v>6</v>
      </c>
      <c r="D12" s="6">
        <f t="shared" si="13"/>
        <v>8.02</v>
      </c>
      <c r="E12" s="456">
        <f t="shared" si="0"/>
        <v>15.25</v>
      </c>
      <c r="F12" s="225">
        <f t="shared" si="1"/>
        <v>0.65535023635582301</v>
      </c>
      <c r="G12" s="180">
        <f t="shared" si="2"/>
        <v>3.4294805543618394</v>
      </c>
      <c r="H12" s="225">
        <f t="shared" si="3"/>
        <v>0.22863203695745596</v>
      </c>
      <c r="I12" s="456">
        <f t="shared" si="4"/>
        <v>23.27</v>
      </c>
      <c r="J12" s="180">
        <f t="shared" si="5"/>
        <v>1.35</v>
      </c>
      <c r="K12" s="180">
        <f t="shared" si="6"/>
        <v>6.7331670822942655</v>
      </c>
      <c r="L12" s="180">
        <f t="shared" si="7"/>
        <v>3.5409836065573774</v>
      </c>
      <c r="M12" s="456">
        <f t="shared" si="14"/>
        <v>97.331646214327762</v>
      </c>
      <c r="N12" s="205">
        <f t="shared" si="8"/>
        <v>350</v>
      </c>
      <c r="O12" s="225">
        <f t="shared" si="9"/>
        <v>0.37542206396954991</v>
      </c>
      <c r="P12" s="181">
        <f t="shared" si="10"/>
        <v>0.98471361041193428</v>
      </c>
      <c r="Q12" s="181">
        <f t="shared" si="11"/>
        <v>6.4694562806957234E-2</v>
      </c>
      <c r="R12" s="181">
        <f t="shared" si="12"/>
        <v>0.76065573770491812</v>
      </c>
    </row>
    <row r="13" spans="3:19" x14ac:dyDescent="0.2">
      <c r="C13" s="178">
        <v>7</v>
      </c>
      <c r="D13" s="6">
        <f t="shared" si="13"/>
        <v>8.19</v>
      </c>
      <c r="E13" s="456">
        <f t="shared" si="0"/>
        <v>15.25</v>
      </c>
      <c r="F13" s="225">
        <f t="shared" si="1"/>
        <v>0.65059726962457343</v>
      </c>
      <c r="G13" s="180">
        <f t="shared" si="2"/>
        <v>3.4767755439419794</v>
      </c>
      <c r="H13" s="225">
        <f t="shared" si="3"/>
        <v>0.23178503626279862</v>
      </c>
      <c r="I13" s="456">
        <f t="shared" si="4"/>
        <v>23.439999999999998</v>
      </c>
      <c r="J13" s="180">
        <f t="shared" si="5"/>
        <v>1.35</v>
      </c>
      <c r="K13" s="180">
        <f t="shared" si="6"/>
        <v>6.593406593406594</v>
      </c>
      <c r="L13" s="180">
        <f t="shared" si="7"/>
        <v>3.5409836065573774</v>
      </c>
      <c r="M13" s="456">
        <f t="shared" si="14"/>
        <v>98.673919226393622</v>
      </c>
      <c r="N13" s="205">
        <f t="shared" si="8"/>
        <v>350</v>
      </c>
      <c r="O13" s="225">
        <f t="shared" si="9"/>
        <v>0.38059940273037535</v>
      </c>
      <c r="P13" s="181">
        <f t="shared" si="10"/>
        <v>0.99829351535836153</v>
      </c>
      <c r="Q13" s="181">
        <f t="shared" si="11"/>
        <v>6.6491235246624855E-2</v>
      </c>
      <c r="R13" s="181">
        <f t="shared" si="12"/>
        <v>0.76065573770491812</v>
      </c>
    </row>
    <row r="14" spans="3:19" s="78" customFormat="1" x14ac:dyDescent="0.2">
      <c r="C14" s="197">
        <v>8</v>
      </c>
      <c r="D14" s="554">
        <f t="shared" si="13"/>
        <v>8.36</v>
      </c>
      <c r="E14" s="555">
        <f t="shared" si="0"/>
        <v>15.25</v>
      </c>
      <c r="F14" s="337">
        <f t="shared" si="1"/>
        <v>0.6459127488352393</v>
      </c>
      <c r="G14" s="556">
        <f t="shared" si="2"/>
        <v>3.5233894536213466</v>
      </c>
      <c r="H14" s="337">
        <f t="shared" si="3"/>
        <v>0.23489263024142309</v>
      </c>
      <c r="I14" s="555">
        <f t="shared" si="4"/>
        <v>23.61</v>
      </c>
      <c r="J14" s="180">
        <f t="shared" si="5"/>
        <v>1.35</v>
      </c>
      <c r="K14" s="556">
        <f t="shared" si="6"/>
        <v>6.4593301435406714</v>
      </c>
      <c r="L14" s="556">
        <f t="shared" si="7"/>
        <v>3.5409836065573774</v>
      </c>
      <c r="M14" s="555">
        <f t="shared" si="14"/>
        <v>99.996862597455561</v>
      </c>
      <c r="N14" s="557">
        <f t="shared" si="8"/>
        <v>350</v>
      </c>
      <c r="O14" s="337">
        <f t="shared" si="9"/>
        <v>0.3857021843044714</v>
      </c>
      <c r="P14" s="181">
        <f t="shared" si="10"/>
        <v>1.0116778604707446</v>
      </c>
      <c r="Q14" s="558">
        <f t="shared" si="11"/>
        <v>6.8286113104307072E-2</v>
      </c>
      <c r="R14" s="181">
        <f t="shared" si="12"/>
        <v>0.76065573770491812</v>
      </c>
    </row>
    <row r="15" spans="3:19" x14ac:dyDescent="0.2">
      <c r="C15" s="178">
        <v>9</v>
      </c>
      <c r="D15" s="6">
        <f t="shared" si="13"/>
        <v>8.5299999999999994</v>
      </c>
      <c r="E15" s="456">
        <f t="shared" si="0"/>
        <v>15.25</v>
      </c>
      <c r="F15" s="225">
        <f t="shared" si="1"/>
        <v>0.64129520605550883</v>
      </c>
      <c r="G15" s="180">
        <f t="shared" si="2"/>
        <v>3.569336890243902</v>
      </c>
      <c r="H15" s="225">
        <f t="shared" si="3"/>
        <v>0.2379557926829268</v>
      </c>
      <c r="I15" s="456">
        <f t="shared" si="4"/>
        <v>23.78</v>
      </c>
      <c r="J15" s="180">
        <f t="shared" si="5"/>
        <v>1.35</v>
      </c>
      <c r="K15" s="180">
        <f t="shared" si="6"/>
        <v>6.3305978898007051</v>
      </c>
      <c r="L15" s="180">
        <f t="shared" si="7"/>
        <v>3.5409836065573774</v>
      </c>
      <c r="M15" s="456">
        <f t="shared" si="14"/>
        <v>101.30089088247202</v>
      </c>
      <c r="N15" s="205">
        <f t="shared" si="8"/>
        <v>350</v>
      </c>
      <c r="O15" s="225">
        <f t="shared" si="9"/>
        <v>0.39073200768953492</v>
      </c>
      <c r="P15" s="181">
        <f t="shared" si="10"/>
        <v>1.0248708398414033</v>
      </c>
      <c r="Q15" s="181">
        <f t="shared" si="11"/>
        <v>7.0078722152895984E-2</v>
      </c>
      <c r="R15" s="181">
        <f t="shared" si="12"/>
        <v>0.76065573770491812</v>
      </c>
    </row>
    <row r="16" spans="3:19" x14ac:dyDescent="0.2">
      <c r="C16" s="178">
        <v>10</v>
      </c>
      <c r="D16" s="6">
        <f t="shared" si="13"/>
        <v>8.6999999999999993</v>
      </c>
      <c r="E16" s="456">
        <f t="shared" si="0"/>
        <v>15.25</v>
      </c>
      <c r="F16" s="225">
        <f t="shared" si="1"/>
        <v>0.63674321503131526</v>
      </c>
      <c r="G16" s="180">
        <f t="shared" si="2"/>
        <v>3.6146320459290182</v>
      </c>
      <c r="H16" s="225">
        <f t="shared" si="3"/>
        <v>0.2409754697286012</v>
      </c>
      <c r="I16" s="456">
        <f t="shared" si="4"/>
        <v>23.95</v>
      </c>
      <c r="J16" s="180">
        <f t="shared" si="5"/>
        <v>1.35</v>
      </c>
      <c r="K16" s="180">
        <f t="shared" si="6"/>
        <v>6.2068965517241388</v>
      </c>
      <c r="L16" s="180">
        <f t="shared" si="7"/>
        <v>3.5409836065573774</v>
      </c>
      <c r="M16" s="456">
        <f t="shared" si="14"/>
        <v>102.58640686615634</v>
      </c>
      <c r="N16" s="205">
        <f t="shared" si="8"/>
        <v>350</v>
      </c>
      <c r="O16" s="225">
        <f t="shared" si="9"/>
        <v>0.39569042648374586</v>
      </c>
      <c r="P16" s="181">
        <f t="shared" si="10"/>
        <v>1.0378765284819564</v>
      </c>
      <c r="Q16" s="181">
        <f t="shared" si="11"/>
        <v>7.1868616083686623E-2</v>
      </c>
      <c r="R16" s="181">
        <f t="shared" si="12"/>
        <v>0.76065573770491812</v>
      </c>
    </row>
    <row r="17" spans="3:18" x14ac:dyDescent="0.2">
      <c r="C17" s="178">
        <v>11</v>
      </c>
      <c r="D17" s="6">
        <f t="shared" si="13"/>
        <v>8.870000000000001</v>
      </c>
      <c r="E17" s="456">
        <f t="shared" si="0"/>
        <v>15.25</v>
      </c>
      <c r="F17" s="225">
        <f t="shared" si="1"/>
        <v>0.63225538971807627</v>
      </c>
      <c r="G17" s="180">
        <f t="shared" si="2"/>
        <v>3.6592887126865672</v>
      </c>
      <c r="H17" s="225">
        <f t="shared" si="3"/>
        <v>0.24395258084577115</v>
      </c>
      <c r="I17" s="456">
        <f t="shared" si="4"/>
        <v>24.12</v>
      </c>
      <c r="J17" s="180">
        <f t="shared" si="5"/>
        <v>1.35</v>
      </c>
      <c r="K17" s="180">
        <f t="shared" si="6"/>
        <v>6.0879368658399091</v>
      </c>
      <c r="L17" s="180">
        <f t="shared" si="7"/>
        <v>3.5409836065573774</v>
      </c>
      <c r="M17" s="456">
        <f t="shared" si="14"/>
        <v>103.8538019777655</v>
      </c>
      <c r="N17" s="205">
        <f t="shared" si="8"/>
        <v>350</v>
      </c>
      <c r="O17" s="225">
        <f t="shared" si="9"/>
        <v>0.40057895048566688</v>
      </c>
      <c r="P17" s="181">
        <f t="shared" si="10"/>
        <v>1.0506988865197822</v>
      </c>
      <c r="Q17" s="181">
        <f t="shared" si="11"/>
        <v>7.3655375016746807E-2</v>
      </c>
      <c r="R17" s="181">
        <f t="shared" si="12"/>
        <v>0.76065573770491812</v>
      </c>
    </row>
    <row r="18" spans="3:18" x14ac:dyDescent="0.2">
      <c r="C18" s="178">
        <v>12</v>
      </c>
      <c r="D18" s="6">
        <f t="shared" si="13"/>
        <v>9.0399999999999991</v>
      </c>
      <c r="E18" s="456">
        <f t="shared" si="0"/>
        <v>15.25</v>
      </c>
      <c r="F18" s="225">
        <f t="shared" si="1"/>
        <v>0.62783038287361059</v>
      </c>
      <c r="G18" s="180">
        <f t="shared" si="2"/>
        <v>3.7033202964182785</v>
      </c>
      <c r="H18" s="225">
        <f t="shared" si="3"/>
        <v>0.24688801976121857</v>
      </c>
      <c r="I18" s="456">
        <f t="shared" si="4"/>
        <v>24.29</v>
      </c>
      <c r="J18" s="180">
        <f t="shared" si="5"/>
        <v>1.35</v>
      </c>
      <c r="K18" s="180">
        <f t="shared" si="6"/>
        <v>5.9734513274336294</v>
      </c>
      <c r="L18" s="180">
        <f t="shared" si="7"/>
        <v>3.5409836065573774</v>
      </c>
      <c r="M18" s="456">
        <f t="shared" si="14"/>
        <v>105.10345668847108</v>
      </c>
      <c r="N18" s="205">
        <f t="shared" si="8"/>
        <v>350</v>
      </c>
      <c r="O18" s="225">
        <f t="shared" si="9"/>
        <v>0.40539904722695985</v>
      </c>
      <c r="P18" s="181">
        <f t="shared" si="10"/>
        <v>1.0633417632182554</v>
      </c>
      <c r="Q18" s="181">
        <f t="shared" si="11"/>
        <v>7.5438604094930334E-2</v>
      </c>
      <c r="R18" s="181">
        <f t="shared" si="12"/>
        <v>0.76065573770491812</v>
      </c>
    </row>
    <row r="19" spans="3:18" x14ac:dyDescent="0.2">
      <c r="C19" s="178">
        <v>13</v>
      </c>
      <c r="D19" s="6">
        <f t="shared" si="13"/>
        <v>9.2100000000000009</v>
      </c>
      <c r="E19" s="456">
        <f t="shared" si="0"/>
        <v>15.25</v>
      </c>
      <c r="F19" s="225">
        <f t="shared" si="1"/>
        <v>0.62346688470973011</v>
      </c>
      <c r="G19" s="180">
        <f t="shared" si="2"/>
        <v>3.7467398303352408</v>
      </c>
      <c r="H19" s="225">
        <f t="shared" si="3"/>
        <v>0.24978265535568273</v>
      </c>
      <c r="I19" s="456">
        <f t="shared" si="4"/>
        <v>24.46</v>
      </c>
      <c r="J19" s="180">
        <f t="shared" si="5"/>
        <v>1.35</v>
      </c>
      <c r="K19" s="180">
        <f t="shared" si="6"/>
        <v>5.8631921824104234</v>
      </c>
      <c r="L19" s="180">
        <f t="shared" si="7"/>
        <v>3.5409836065573774</v>
      </c>
      <c r="M19" s="456">
        <f t="shared" si="14"/>
        <v>106.33574089215952</v>
      </c>
      <c r="N19" s="205">
        <f t="shared" si="8"/>
        <v>350</v>
      </c>
      <c r="O19" s="225">
        <f t="shared" si="9"/>
        <v>0.41015214344118672</v>
      </c>
      <c r="P19" s="181">
        <f t="shared" si="10"/>
        <v>1.0758089008293423</v>
      </c>
      <c r="Q19" s="181">
        <f t="shared" si="11"/>
        <v>7.7217932156445818E-2</v>
      </c>
      <c r="R19" s="181">
        <f t="shared" si="12"/>
        <v>0.76065573770491812</v>
      </c>
    </row>
    <row r="20" spans="3:18" x14ac:dyDescent="0.2">
      <c r="C20" s="178">
        <v>14</v>
      </c>
      <c r="D20" s="6">
        <f t="shared" si="13"/>
        <v>9.3800000000000008</v>
      </c>
      <c r="E20" s="456">
        <f t="shared" si="0"/>
        <v>15.25</v>
      </c>
      <c r="F20" s="225">
        <f t="shared" si="1"/>
        <v>0.61916362159967508</v>
      </c>
      <c r="G20" s="180">
        <f t="shared" si="2"/>
        <v>3.7895599878197319</v>
      </c>
      <c r="H20" s="225">
        <f t="shared" si="3"/>
        <v>0.25263733252131548</v>
      </c>
      <c r="I20" s="456">
        <f t="shared" si="4"/>
        <v>24.630000000000003</v>
      </c>
      <c r="J20" s="180">
        <f t="shared" si="5"/>
        <v>1.35</v>
      </c>
      <c r="K20" s="180">
        <f t="shared" si="6"/>
        <v>5.7569296375266523</v>
      </c>
      <c r="L20" s="180">
        <f t="shared" si="7"/>
        <v>3.5409836065573774</v>
      </c>
      <c r="M20" s="456">
        <f t="shared" si="14"/>
        <v>107.5510142704621</v>
      </c>
      <c r="N20" s="205">
        <f t="shared" si="8"/>
        <v>350</v>
      </c>
      <c r="O20" s="225">
        <f t="shared" si="9"/>
        <v>0.41483962647178235</v>
      </c>
      <c r="P20" s="181">
        <f t="shared" si="10"/>
        <v>1.0881039382866424</v>
      </c>
      <c r="Q20" s="181">
        <f t="shared" si="11"/>
        <v>7.8993010481228559E-2</v>
      </c>
      <c r="R20" s="181">
        <f t="shared" si="12"/>
        <v>0.76065573770491812</v>
      </c>
    </row>
    <row r="21" spans="3:18" x14ac:dyDescent="0.2">
      <c r="C21" s="178">
        <v>15</v>
      </c>
      <c r="D21" s="6">
        <f t="shared" si="13"/>
        <v>9.5500000000000007</v>
      </c>
      <c r="E21" s="456">
        <f t="shared" si="0"/>
        <v>15.25</v>
      </c>
      <c r="F21" s="225">
        <f t="shared" si="1"/>
        <v>0.61491935483870963</v>
      </c>
      <c r="G21" s="180">
        <f t="shared" si="2"/>
        <v>3.8317930947580638</v>
      </c>
      <c r="H21" s="225">
        <f t="shared" si="3"/>
        <v>0.25545287298387093</v>
      </c>
      <c r="I21" s="456">
        <f t="shared" si="4"/>
        <v>24.8</v>
      </c>
      <c r="J21" s="180">
        <f t="shared" si="5"/>
        <v>1.35</v>
      </c>
      <c r="K21" s="180">
        <f t="shared" si="6"/>
        <v>5.6544502617801049</v>
      </c>
      <c r="L21" s="180">
        <f t="shared" si="7"/>
        <v>3.5409836065573774</v>
      </c>
      <c r="M21" s="456">
        <f t="shared" si="14"/>
        <v>108.74962664277182</v>
      </c>
      <c r="N21" s="205">
        <f t="shared" si="8"/>
        <v>350</v>
      </c>
      <c r="O21" s="225">
        <f t="shared" si="9"/>
        <v>0.41946284562211977</v>
      </c>
      <c r="P21" s="181">
        <f t="shared" si="10"/>
        <v>1.1002304147465438</v>
      </c>
      <c r="Q21" s="181">
        <f t="shared" si="11"/>
        <v>8.0763511606678301E-2</v>
      </c>
      <c r="R21" s="181">
        <f t="shared" si="12"/>
        <v>0.76065573770491812</v>
      </c>
    </row>
    <row r="22" spans="3:18" s="4" customFormat="1" x14ac:dyDescent="0.2">
      <c r="C22" s="341">
        <v>16</v>
      </c>
      <c r="D22" s="550">
        <f t="shared" si="13"/>
        <v>9.7200000000000006</v>
      </c>
      <c r="E22" s="551">
        <f t="shared" si="0"/>
        <v>15.25</v>
      </c>
      <c r="F22" s="552">
        <f t="shared" si="1"/>
        <v>0.61073287945534649</v>
      </c>
      <c r="G22" s="340">
        <f t="shared" si="2"/>
        <v>3.8734511413696446</v>
      </c>
      <c r="H22" s="552">
        <f t="shared" si="3"/>
        <v>0.25823007609130966</v>
      </c>
      <c r="I22" s="551">
        <f t="shared" si="4"/>
        <v>24.97</v>
      </c>
      <c r="J22" s="180">
        <f t="shared" si="5"/>
        <v>1.35</v>
      </c>
      <c r="K22" s="340">
        <f t="shared" si="6"/>
        <v>5.5555555555555562</v>
      </c>
      <c r="L22" s="340">
        <f t="shared" si="7"/>
        <v>3.5409836065573774</v>
      </c>
      <c r="M22" s="551">
        <f t="shared" si="14"/>
        <v>109.93191830196234</v>
      </c>
      <c r="N22" s="343">
        <f t="shared" si="8"/>
        <v>350</v>
      </c>
      <c r="O22" s="552">
        <f t="shared" si="9"/>
        <v>0.4240231134504262</v>
      </c>
      <c r="P22" s="181">
        <f t="shared" si="10"/>
        <v>1.1121917729847246</v>
      </c>
      <c r="Q22" s="559">
        <f t="shared" si="11"/>
        <v>8.2529128208613203E-2</v>
      </c>
      <c r="R22" s="181">
        <f t="shared" si="12"/>
        <v>0.76065573770491812</v>
      </c>
    </row>
    <row r="23" spans="3:18" x14ac:dyDescent="0.2">
      <c r="C23" s="178">
        <v>17</v>
      </c>
      <c r="D23" s="6">
        <f t="shared" si="13"/>
        <v>9.89</v>
      </c>
      <c r="E23" s="456">
        <f t="shared" si="0"/>
        <v>15.25</v>
      </c>
      <c r="F23" s="225">
        <f t="shared" si="1"/>
        <v>0.60660302307080349</v>
      </c>
      <c r="G23" s="180">
        <f t="shared" si="2"/>
        <v>3.9145457935560861</v>
      </c>
      <c r="H23" s="225">
        <f t="shared" si="3"/>
        <v>0.26096971957040577</v>
      </c>
      <c r="I23" s="456">
        <f t="shared" si="4"/>
        <v>25.14</v>
      </c>
      <c r="J23" s="180">
        <f t="shared" si="5"/>
        <v>1.35</v>
      </c>
      <c r="K23" s="180">
        <f t="shared" si="6"/>
        <v>5.4600606673407484</v>
      </c>
      <c r="L23" s="180">
        <f t="shared" si="7"/>
        <v>3.5409836065573774</v>
      </c>
      <c r="M23" s="456">
        <f t="shared" si="14"/>
        <v>111.09822033648605</v>
      </c>
      <c r="N23" s="205">
        <f t="shared" si="8"/>
        <v>350</v>
      </c>
      <c r="O23" s="225">
        <f t="shared" si="9"/>
        <v>0.42852170701216047</v>
      </c>
      <c r="P23" s="181">
        <f t="shared" si="10"/>
        <v>1.123991362654847</v>
      </c>
      <c r="Q23" s="181">
        <f t="shared" si="11"/>
        <v>8.4289572043561398E-2</v>
      </c>
      <c r="R23" s="181">
        <f t="shared" si="12"/>
        <v>0.76065573770491812</v>
      </c>
    </row>
    <row r="24" spans="3:18" x14ac:dyDescent="0.2">
      <c r="C24" s="178">
        <v>18</v>
      </c>
      <c r="D24" s="6">
        <f t="shared" si="13"/>
        <v>10.06</v>
      </c>
      <c r="E24" s="456">
        <f t="shared" si="0"/>
        <v>15.25</v>
      </c>
      <c r="F24" s="225">
        <f t="shared" si="1"/>
        <v>0.60252864480442503</v>
      </c>
      <c r="G24" s="180">
        <f t="shared" si="2"/>
        <v>3.9550884037929666</v>
      </c>
      <c r="H24" s="225">
        <f t="shared" si="3"/>
        <v>0.26367256025286445</v>
      </c>
      <c r="I24" s="456">
        <f t="shared" si="4"/>
        <v>25.310000000000002</v>
      </c>
      <c r="J24" s="180">
        <f t="shared" si="5"/>
        <v>1.35</v>
      </c>
      <c r="K24" s="180">
        <f t="shared" si="6"/>
        <v>5.3677932405566606</v>
      </c>
      <c r="L24" s="180">
        <f t="shared" si="7"/>
        <v>3.5409836065573774</v>
      </c>
      <c r="M24" s="456">
        <f t="shared" si="14"/>
        <v>112.24885493949105</v>
      </c>
      <c r="N24" s="205">
        <f t="shared" si="8"/>
        <v>350</v>
      </c>
      <c r="O24" s="225">
        <f t="shared" si="9"/>
        <v>0.43295986905232253</v>
      </c>
      <c r="P24" s="181">
        <f t="shared" si="10"/>
        <v>1.1356324434159282</v>
      </c>
      <c r="Q24" s="181">
        <f t="shared" si="11"/>
        <v>8.6044572948762638E-2</v>
      </c>
      <c r="R24" s="181">
        <f t="shared" si="12"/>
        <v>0.76065573770491812</v>
      </c>
    </row>
    <row r="25" spans="3:18" x14ac:dyDescent="0.2">
      <c r="C25" s="178">
        <v>19</v>
      </c>
      <c r="D25" s="6">
        <f t="shared" si="13"/>
        <v>10.23</v>
      </c>
      <c r="E25" s="456">
        <f t="shared" si="0"/>
        <v>15.25</v>
      </c>
      <c r="F25" s="225">
        <f t="shared" si="1"/>
        <v>0.59850863422291989</v>
      </c>
      <c r="G25" s="180">
        <f t="shared" si="2"/>
        <v>3.9950900215855576</v>
      </c>
      <c r="H25" s="225">
        <f t="shared" si="3"/>
        <v>0.26633933477237048</v>
      </c>
      <c r="I25" s="456">
        <f t="shared" si="4"/>
        <v>25.48</v>
      </c>
      <c r="J25" s="180">
        <f t="shared" si="5"/>
        <v>1.35</v>
      </c>
      <c r="K25" s="180">
        <f t="shared" si="6"/>
        <v>5.2785923753665696</v>
      </c>
      <c r="L25" s="180">
        <f t="shared" si="7"/>
        <v>3.5409836065573774</v>
      </c>
      <c r="M25" s="456">
        <f t="shared" si="14"/>
        <v>113.38413570556428</v>
      </c>
      <c r="N25" s="205">
        <f t="shared" si="8"/>
        <v>350</v>
      </c>
      <c r="O25" s="225">
        <f t="shared" si="9"/>
        <v>0.43733880915003359</v>
      </c>
      <c r="P25" s="181">
        <f t="shared" si="10"/>
        <v>1.1471181879345143</v>
      </c>
      <c r="Q25" s="181">
        <f t="shared" si="11"/>
        <v>8.7793877896484351E-2</v>
      </c>
      <c r="R25" s="181">
        <f t="shared" si="12"/>
        <v>0.76065573770491812</v>
      </c>
    </row>
    <row r="26" spans="3:18" x14ac:dyDescent="0.2">
      <c r="C26" s="178">
        <v>20</v>
      </c>
      <c r="D26" s="6">
        <f t="shared" si="13"/>
        <v>10.4</v>
      </c>
      <c r="E26" s="456">
        <f t="shared" si="0"/>
        <v>15.25</v>
      </c>
      <c r="F26" s="225">
        <f t="shared" si="1"/>
        <v>0.59454191033138404</v>
      </c>
      <c r="G26" s="180">
        <f t="shared" si="2"/>
        <v>4.0345614035087722</v>
      </c>
      <c r="H26" s="225">
        <f t="shared" si="3"/>
        <v>0.26897076023391814</v>
      </c>
      <c r="I26" s="456">
        <f t="shared" si="4"/>
        <v>25.65</v>
      </c>
      <c r="J26" s="180">
        <f t="shared" si="5"/>
        <v>1.35</v>
      </c>
      <c r="K26" s="180">
        <f t="shared" si="6"/>
        <v>5.1923076923076934</v>
      </c>
      <c r="L26" s="180">
        <f t="shared" si="7"/>
        <v>3.5409836065573774</v>
      </c>
      <c r="M26" s="456">
        <f t="shared" si="14"/>
        <v>114.50436791567394</v>
      </c>
      <c r="N26" s="205">
        <f t="shared" si="8"/>
        <v>350</v>
      </c>
      <c r="O26" s="225">
        <f t="shared" si="9"/>
        <v>0.44165970481759953</v>
      </c>
      <c r="P26" s="181">
        <f t="shared" si="10"/>
        <v>1.1584516847674742</v>
      </c>
      <c r="Q26" s="181">
        <f t="shared" si="11"/>
        <v>8.9537250099474372E-2</v>
      </c>
      <c r="R26" s="181">
        <f t="shared" si="12"/>
        <v>0.76065573770491812</v>
      </c>
    </row>
    <row r="27" spans="3:18" x14ac:dyDescent="0.2">
      <c r="C27" s="178">
        <v>21</v>
      </c>
      <c r="D27" s="6">
        <f t="shared" si="13"/>
        <v>10.57</v>
      </c>
      <c r="E27" s="456">
        <f t="shared" si="0"/>
        <v>15.25</v>
      </c>
      <c r="F27" s="225">
        <f t="shared" si="1"/>
        <v>0.59062742060418283</v>
      </c>
      <c r="G27" s="180">
        <f t="shared" si="2"/>
        <v>4.073513022850503</v>
      </c>
      <c r="H27" s="225">
        <f t="shared" si="3"/>
        <v>0.27156753485670021</v>
      </c>
      <c r="I27" s="456">
        <f t="shared" si="4"/>
        <v>25.82</v>
      </c>
      <c r="J27" s="180">
        <f t="shared" si="5"/>
        <v>1.35</v>
      </c>
      <c r="K27" s="180">
        <f t="shared" si="6"/>
        <v>5.1087984862819305</v>
      </c>
      <c r="L27" s="180">
        <f t="shared" si="7"/>
        <v>3.5409836065573774</v>
      </c>
      <c r="M27" s="456">
        <f t="shared" si="14"/>
        <v>115.60984881085577</v>
      </c>
      <c r="N27" s="205">
        <f t="shared" si="8"/>
        <v>350</v>
      </c>
      <c r="O27" s="225">
        <f t="shared" si="9"/>
        <v>0.44592370255615799</v>
      </c>
      <c r="P27" s="181">
        <f t="shared" si="10"/>
        <v>1.1696359411309063</v>
      </c>
      <c r="Q27" s="181">
        <f t="shared" si="11"/>
        <v>9.1274468164573769E-2</v>
      </c>
      <c r="R27" s="181">
        <f t="shared" si="12"/>
        <v>0.76065573770491812</v>
      </c>
    </row>
    <row r="28" spans="3:18" x14ac:dyDescent="0.2">
      <c r="C28" s="178">
        <v>22</v>
      </c>
      <c r="D28" s="6">
        <f t="shared" si="13"/>
        <v>10.74</v>
      </c>
      <c r="E28" s="456">
        <f t="shared" si="0"/>
        <v>15.25</v>
      </c>
      <c r="F28" s="225">
        <f t="shared" si="1"/>
        <v>0.58676414005386679</v>
      </c>
      <c r="G28" s="180">
        <f t="shared" si="2"/>
        <v>4.1119550788764903</v>
      </c>
      <c r="H28" s="225">
        <f t="shared" si="3"/>
        <v>0.274130338591766</v>
      </c>
      <c r="I28" s="456">
        <f t="shared" si="4"/>
        <v>25.990000000000002</v>
      </c>
      <c r="J28" s="180">
        <f t="shared" si="5"/>
        <v>1.35</v>
      </c>
      <c r="K28" s="180">
        <f t="shared" si="6"/>
        <v>5.027932960893855</v>
      </c>
      <c r="L28" s="180">
        <f t="shared" si="7"/>
        <v>3.5409836065573774</v>
      </c>
      <c r="M28" s="456">
        <f t="shared" si="14"/>
        <v>116.70086785515795</v>
      </c>
      <c r="N28" s="205">
        <f t="shared" si="8"/>
        <v>350</v>
      </c>
      <c r="O28" s="225">
        <f t="shared" si="9"/>
        <v>0.45013191886989495</v>
      </c>
      <c r="P28" s="181">
        <f t="shared" si="10"/>
        <v>1.1806738855603802</v>
      </c>
      <c r="Q28" s="181">
        <f t="shared" si="11"/>
        <v>9.3005325291702023E-2</v>
      </c>
      <c r="R28" s="181">
        <f t="shared" si="12"/>
        <v>0.76065573770491812</v>
      </c>
    </row>
    <row r="29" spans="3:18" x14ac:dyDescent="0.2">
      <c r="C29" s="178">
        <v>23</v>
      </c>
      <c r="D29" s="6">
        <f t="shared" si="13"/>
        <v>10.91</v>
      </c>
      <c r="E29" s="456">
        <f t="shared" si="0"/>
        <v>15.25</v>
      </c>
      <c r="F29" s="225">
        <f t="shared" si="1"/>
        <v>0.58295107033639149</v>
      </c>
      <c r="G29" s="180">
        <f t="shared" si="2"/>
        <v>4.1498975057339456</v>
      </c>
      <c r="H29" s="225">
        <f t="shared" si="3"/>
        <v>0.27665983371559638</v>
      </c>
      <c r="I29" s="456">
        <f t="shared" si="4"/>
        <v>26.16</v>
      </c>
      <c r="J29" s="180">
        <f t="shared" si="5"/>
        <v>1.35</v>
      </c>
      <c r="K29" s="180">
        <f t="shared" si="6"/>
        <v>4.9495875343721361</v>
      </c>
      <c r="L29" s="180">
        <f t="shared" si="7"/>
        <v>3.5409836065573774</v>
      </c>
      <c r="M29" s="456">
        <f t="shared" si="14"/>
        <v>117.77770698833389</v>
      </c>
      <c r="N29" s="205">
        <f t="shared" si="8"/>
        <v>350</v>
      </c>
      <c r="O29" s="225">
        <f t="shared" si="9"/>
        <v>0.4542854412407164</v>
      </c>
      <c r="P29" s="181">
        <f t="shared" si="10"/>
        <v>1.1915683704674529</v>
      </c>
      <c r="Q29" s="181">
        <f t="shared" si="11"/>
        <v>9.4729628515600434E-2</v>
      </c>
      <c r="R29" s="181">
        <f t="shared" si="12"/>
        <v>0.76065573770491812</v>
      </c>
    </row>
    <row r="30" spans="3:18" x14ac:dyDescent="0.2">
      <c r="C30" s="178">
        <v>24</v>
      </c>
      <c r="D30" s="6">
        <f t="shared" si="13"/>
        <v>11.08</v>
      </c>
      <c r="E30" s="456">
        <f t="shared" si="0"/>
        <v>15.25</v>
      </c>
      <c r="F30" s="225">
        <f t="shared" si="1"/>
        <v>0.57918723889099888</v>
      </c>
      <c r="G30" s="180">
        <f t="shared" si="2"/>
        <v>4.1873499810102546</v>
      </c>
      <c r="H30" s="225">
        <f t="shared" si="3"/>
        <v>0.27915666540068362</v>
      </c>
      <c r="I30" s="456">
        <f t="shared" si="4"/>
        <v>26.33</v>
      </c>
      <c r="J30" s="180">
        <f t="shared" si="5"/>
        <v>1.35</v>
      </c>
      <c r="K30" s="180">
        <f t="shared" si="6"/>
        <v>4.8736462093862825</v>
      </c>
      <c r="L30" s="180">
        <f t="shared" si="7"/>
        <v>3.5409836065573774</v>
      </c>
      <c r="M30" s="456">
        <f t="shared" si="14"/>
        <v>118.84064086874568</v>
      </c>
      <c r="N30" s="205">
        <f t="shared" si="8"/>
        <v>350</v>
      </c>
      <c r="O30" s="225">
        <f t="shared" si="9"/>
        <v>0.45838532906516177</v>
      </c>
      <c r="P30" s="181">
        <f t="shared" si="10"/>
        <v>1.2023221745971457</v>
      </c>
      <c r="Q30" s="181">
        <f t="shared" si="11"/>
        <v>9.644719798788437E-2</v>
      </c>
      <c r="R30" s="181">
        <f t="shared" si="12"/>
        <v>0.76065573770491812</v>
      </c>
    </row>
    <row r="31" spans="3:18" x14ac:dyDescent="0.2">
      <c r="C31" s="178">
        <v>25</v>
      </c>
      <c r="D31" s="6">
        <f t="shared" si="13"/>
        <v>11.25</v>
      </c>
      <c r="E31" s="456">
        <f t="shared" si="0"/>
        <v>15.25</v>
      </c>
      <c r="F31" s="225">
        <f t="shared" si="1"/>
        <v>0.57547169811320753</v>
      </c>
      <c r="G31" s="180">
        <f t="shared" si="2"/>
        <v>4.2243219339622637</v>
      </c>
      <c r="H31" s="225">
        <f t="shared" si="3"/>
        <v>0.28162146226415091</v>
      </c>
      <c r="I31" s="456">
        <f t="shared" si="4"/>
        <v>26.5</v>
      </c>
      <c r="J31" s="180">
        <f t="shared" si="5"/>
        <v>1.35</v>
      </c>
      <c r="K31" s="180">
        <f t="shared" si="6"/>
        <v>4.8000000000000007</v>
      </c>
      <c r="L31" s="180">
        <f t="shared" si="7"/>
        <v>3.5409836065573774</v>
      </c>
      <c r="M31" s="456">
        <f t="shared" si="14"/>
        <v>119.88993710691823</v>
      </c>
      <c r="N31" s="205">
        <f t="shared" si="8"/>
        <v>350</v>
      </c>
      <c r="O31" s="225">
        <f t="shared" si="9"/>
        <v>0.46243261455525603</v>
      </c>
      <c r="P31" s="181">
        <f t="shared" si="10"/>
        <v>1.2129380053908356</v>
      </c>
      <c r="Q31" s="181">
        <f t="shared" si="11"/>
        <v>9.8157866297106239E-2</v>
      </c>
      <c r="R31" s="181">
        <f t="shared" si="12"/>
        <v>0.76065573770491812</v>
      </c>
    </row>
    <row r="32" spans="3:18" x14ac:dyDescent="0.2">
      <c r="C32" s="178">
        <v>26</v>
      </c>
      <c r="D32" s="6">
        <f t="shared" si="13"/>
        <v>11.42</v>
      </c>
      <c r="E32" s="456">
        <f t="shared" si="0"/>
        <v>15.25</v>
      </c>
      <c r="F32" s="225">
        <f t="shared" si="1"/>
        <v>0.57180352455943007</v>
      </c>
      <c r="G32" s="180">
        <f t="shared" si="2"/>
        <v>4.2608225534308213</v>
      </c>
      <c r="H32" s="225">
        <f t="shared" si="3"/>
        <v>0.28405483689538807</v>
      </c>
      <c r="I32" s="456">
        <f t="shared" si="4"/>
        <v>26.67</v>
      </c>
      <c r="J32" s="180">
        <f t="shared" si="5"/>
        <v>1.35</v>
      </c>
      <c r="K32" s="180">
        <f t="shared" si="6"/>
        <v>4.7285464098073557</v>
      </c>
      <c r="L32" s="180">
        <f t="shared" si="7"/>
        <v>3.5409836065573774</v>
      </c>
      <c r="M32" s="456">
        <f t="shared" si="14"/>
        <v>120.92585649016094</v>
      </c>
      <c r="N32" s="205">
        <f t="shared" si="8"/>
        <v>350</v>
      </c>
      <c r="O32" s="225">
        <f t="shared" si="9"/>
        <v>0.4664283036049065</v>
      </c>
      <c r="P32" s="181">
        <f t="shared" si="10"/>
        <v>1.2234185012587713</v>
      </c>
      <c r="Q32" s="181">
        <f t="shared" si="11"/>
        <v>9.9861477824672515E-2</v>
      </c>
      <c r="R32" s="181">
        <f t="shared" si="12"/>
        <v>0.76065573770491812</v>
      </c>
    </row>
    <row r="33" spans="3:18" x14ac:dyDescent="0.2">
      <c r="C33" s="178">
        <v>27</v>
      </c>
      <c r="D33" s="6">
        <f t="shared" si="13"/>
        <v>11.59</v>
      </c>
      <c r="E33" s="456">
        <f t="shared" si="0"/>
        <v>15.25</v>
      </c>
      <c r="F33" s="225">
        <f t="shared" si="1"/>
        <v>0.56818181818181823</v>
      </c>
      <c r="G33" s="180">
        <f t="shared" si="2"/>
        <v>4.2968607954545455</v>
      </c>
      <c r="H33" s="225">
        <f t="shared" si="3"/>
        <v>0.28645738636363638</v>
      </c>
      <c r="I33" s="456">
        <f t="shared" si="4"/>
        <v>26.84</v>
      </c>
      <c r="J33" s="180">
        <f t="shared" si="5"/>
        <v>1.35</v>
      </c>
      <c r="K33" s="180">
        <f t="shared" si="6"/>
        <v>4.6591889559965498</v>
      </c>
      <c r="L33" s="180">
        <f t="shared" si="7"/>
        <v>3.5409836065573774</v>
      </c>
      <c r="M33" s="456">
        <f t="shared" si="14"/>
        <v>121.94865319865318</v>
      </c>
      <c r="N33" s="205">
        <f t="shared" si="8"/>
        <v>350</v>
      </c>
      <c r="O33" s="225">
        <f t="shared" si="9"/>
        <v>0.47037337662337653</v>
      </c>
      <c r="P33" s="181">
        <f t="shared" si="10"/>
        <v>1.2337662337662336</v>
      </c>
      <c r="Q33" s="181">
        <f t="shared" si="11"/>
        <v>0.10155788813459264</v>
      </c>
      <c r="R33" s="181">
        <f t="shared" si="12"/>
        <v>0.76065573770491812</v>
      </c>
    </row>
    <row r="34" spans="3:18" x14ac:dyDescent="0.2">
      <c r="C34" s="178">
        <v>28</v>
      </c>
      <c r="D34" s="6">
        <f t="shared" si="13"/>
        <v>11.760000000000002</v>
      </c>
      <c r="E34" s="456">
        <f t="shared" si="0"/>
        <v>15.25</v>
      </c>
      <c r="F34" s="225">
        <f t="shared" si="1"/>
        <v>0.56460570159200296</v>
      </c>
      <c r="G34" s="180">
        <f t="shared" si="2"/>
        <v>4.3324453905960763</v>
      </c>
      <c r="H34" s="225">
        <f t="shared" si="3"/>
        <v>0.28882969270640507</v>
      </c>
      <c r="I34" s="456">
        <f t="shared" si="4"/>
        <v>27.01</v>
      </c>
      <c r="J34" s="180">
        <f t="shared" si="5"/>
        <v>1.35</v>
      </c>
      <c r="K34" s="180">
        <f t="shared" si="6"/>
        <v>4.5918367346938771</v>
      </c>
      <c r="L34" s="180">
        <f t="shared" si="7"/>
        <v>3.5409836065573774</v>
      </c>
      <c r="M34" s="456">
        <f t="shared" si="14"/>
        <v>122.95857501336954</v>
      </c>
      <c r="N34" s="205">
        <f t="shared" si="8"/>
        <v>350</v>
      </c>
      <c r="O34" s="225">
        <f t="shared" si="9"/>
        <v>0.47426878933728239</v>
      </c>
      <c r="P34" s="181">
        <f t="shared" si="10"/>
        <v>1.2439837097371342</v>
      </c>
      <c r="Q34" s="181">
        <f t="shared" si="11"/>
        <v>0.1032469633951581</v>
      </c>
      <c r="R34" s="181">
        <f t="shared" si="12"/>
        <v>0.76065573770491812</v>
      </c>
    </row>
    <row r="35" spans="3:18" x14ac:dyDescent="0.2">
      <c r="C35" s="178">
        <v>29</v>
      </c>
      <c r="D35" s="6">
        <f t="shared" si="13"/>
        <v>11.93</v>
      </c>
      <c r="E35" s="456">
        <f t="shared" si="0"/>
        <v>15.25</v>
      </c>
      <c r="F35" s="225">
        <f t="shared" si="1"/>
        <v>0.5610743193524651</v>
      </c>
      <c r="G35" s="180">
        <f t="shared" si="2"/>
        <v>4.367584850993377</v>
      </c>
      <c r="H35" s="225">
        <f t="shared" si="3"/>
        <v>0.29117232339955845</v>
      </c>
      <c r="I35" s="456">
        <f t="shared" si="4"/>
        <v>27.18</v>
      </c>
      <c r="J35" s="180">
        <f t="shared" si="5"/>
        <v>1.35</v>
      </c>
      <c r="K35" s="180">
        <f t="shared" si="6"/>
        <v>4.526404023470243</v>
      </c>
      <c r="L35" s="180">
        <f t="shared" si="7"/>
        <v>3.5409836065573774</v>
      </c>
      <c r="M35" s="456">
        <f t="shared" si="14"/>
        <v>123.95586351620199</v>
      </c>
      <c r="N35" s="205">
        <f t="shared" si="8"/>
        <v>350</v>
      </c>
      <c r="O35" s="225">
        <f t="shared" si="9"/>
        <v>0.4781154735624934</v>
      </c>
      <c r="P35" s="181">
        <f t="shared" si="10"/>
        <v>1.2540733732786711</v>
      </c>
      <c r="Q35" s="181">
        <f t="shared" si="11"/>
        <v>0.10492857983076793</v>
      </c>
      <c r="R35" s="181">
        <f t="shared" si="12"/>
        <v>0.76065573770491812</v>
      </c>
    </row>
    <row r="36" spans="3:18" x14ac:dyDescent="0.2">
      <c r="C36" s="178">
        <v>30</v>
      </c>
      <c r="D36" s="6">
        <f t="shared" si="13"/>
        <v>12.1</v>
      </c>
      <c r="E36" s="456">
        <f t="shared" si="0"/>
        <v>15.25</v>
      </c>
      <c r="F36" s="225">
        <f t="shared" si="1"/>
        <v>0.55758683729433267</v>
      </c>
      <c r="G36" s="180">
        <f t="shared" si="2"/>
        <v>4.4022874771480804</v>
      </c>
      <c r="H36" s="225">
        <f t="shared" si="3"/>
        <v>0.29348583180987203</v>
      </c>
      <c r="I36" s="456">
        <f t="shared" si="4"/>
        <v>27.35</v>
      </c>
      <c r="J36" s="180">
        <f t="shared" si="5"/>
        <v>1.35</v>
      </c>
      <c r="K36" s="180">
        <f t="shared" si="6"/>
        <v>4.462809917355373</v>
      </c>
      <c r="L36" s="180">
        <f t="shared" si="7"/>
        <v>3.5409836065573774</v>
      </c>
      <c r="M36" s="456">
        <f t="shared" si="14"/>
        <v>124.94075428261895</v>
      </c>
      <c r="N36" s="205">
        <f t="shared" si="8"/>
        <v>350</v>
      </c>
      <c r="O36" s="225">
        <f t="shared" si="9"/>
        <v>0.48191433794724453</v>
      </c>
      <c r="P36" s="181">
        <f t="shared" si="10"/>
        <v>1.2640376077304774</v>
      </c>
      <c r="Q36" s="181">
        <f t="shared" si="11"/>
        <v>0.10660262320222405</v>
      </c>
      <c r="R36" s="181">
        <f t="shared" si="12"/>
        <v>0.76065573770491812</v>
      </c>
    </row>
    <row r="37" spans="3:18" x14ac:dyDescent="0.2">
      <c r="C37" s="178">
        <v>31</v>
      </c>
      <c r="D37" s="6">
        <f t="shared" si="13"/>
        <v>12.27</v>
      </c>
      <c r="E37" s="456">
        <f t="shared" si="0"/>
        <v>15.25</v>
      </c>
      <c r="F37" s="225">
        <f t="shared" si="1"/>
        <v>0.55414244186046513</v>
      </c>
      <c r="G37" s="180">
        <f t="shared" si="2"/>
        <v>4.4365613644622099</v>
      </c>
      <c r="H37" s="225">
        <f t="shared" si="3"/>
        <v>0.29577075763081401</v>
      </c>
      <c r="I37" s="456">
        <f t="shared" si="4"/>
        <v>27.52</v>
      </c>
      <c r="J37" s="180">
        <f t="shared" si="5"/>
        <v>1.35</v>
      </c>
      <c r="K37" s="180">
        <f t="shared" si="6"/>
        <v>4.4009779951100247</v>
      </c>
      <c r="L37" s="180">
        <f t="shared" si="7"/>
        <v>3.5409836065573774</v>
      </c>
      <c r="M37" s="456">
        <f t="shared" si="14"/>
        <v>125.91347706718345</v>
      </c>
      <c r="N37" s="205">
        <f t="shared" si="8"/>
        <v>350</v>
      </c>
      <c r="O37" s="225">
        <f t="shared" si="9"/>
        <v>0.48566626868770751</v>
      </c>
      <c r="P37" s="181">
        <f t="shared" si="10"/>
        <v>1.2738787375415279</v>
      </c>
      <c r="Q37" s="181">
        <f t="shared" si="11"/>
        <v>0.10826898831392023</v>
      </c>
      <c r="R37" s="181">
        <f t="shared" si="12"/>
        <v>0.76065573770491812</v>
      </c>
    </row>
    <row r="38" spans="3:18" x14ac:dyDescent="0.2">
      <c r="C38" s="178">
        <v>32</v>
      </c>
      <c r="D38" s="6">
        <f t="shared" si="13"/>
        <v>12.440000000000001</v>
      </c>
      <c r="E38" s="456">
        <f t="shared" ref="E38:E69" si="15">(Vout+Vfwd1)*Nps</f>
        <v>15.25</v>
      </c>
      <c r="F38" s="225">
        <f t="shared" ref="F38:F69" si="16">(Vout+Vfwd1)*Nps/((Vout+Vfwd1)*Nps+D38)</f>
        <v>0.55074033947273382</v>
      </c>
      <c r="G38" s="180">
        <f t="shared" ref="G38:G69" si="17">F38*D38*Isw_max*0.5*Efficiency</f>
        <v>4.4704144095341283</v>
      </c>
      <c r="H38" s="225">
        <f t="shared" ref="H38:H69" si="18">G38/Vout</f>
        <v>0.29802762730227522</v>
      </c>
      <c r="I38" s="456">
        <f t="shared" ref="I38:I69" si="19">(Vout+Vfwd1)*Nps+D38</f>
        <v>27.69</v>
      </c>
      <c r="J38" s="180">
        <f t="shared" ref="J38:J69" si="20">MIN(2*Vout*Iout/(Efficiency*D38*F38), 1.35)</f>
        <v>1.35</v>
      </c>
      <c r="K38" s="180">
        <f t="shared" ref="K38:K69" si="21">L*J38/D38*1000000</f>
        <v>4.340836012861736</v>
      </c>
      <c r="L38" s="180">
        <f t="shared" ref="L38:L69" si="22">L*J38/((Vout+Vfwd1)*Nps)*1000000</f>
        <v>3.5409836065573774</v>
      </c>
      <c r="M38" s="456">
        <f t="shared" si="14"/>
        <v>126.8742559822372</v>
      </c>
      <c r="N38" s="205">
        <f t="shared" ref="N38:N69" si="23">IF(1/((350000*L)*(1/D38+1/E38))&gt;Isw_min, 350, 0.001/((Isw_min*L)*(1/D38+1/E38)))</f>
        <v>350</v>
      </c>
      <c r="O38" s="225">
        <f t="shared" ref="O38:O69" si="24">1/((N38*1000*L)*(1/D38+1/E38))</f>
        <v>0.48937213021720066</v>
      </c>
      <c r="P38" s="181">
        <f t="shared" ref="P38:P69" si="25">L*O38/E38*1000000</f>
        <v>1.2835990300779034</v>
      </c>
      <c r="Q38" s="181">
        <f t="shared" ref="Q38:Q69" si="26">0.5*P38*O38*Nps*N38/1000</f>
        <v>0.10992757854644235</v>
      </c>
      <c r="R38" s="181">
        <f t="shared" ref="R38:R69" si="27">L*Isw_min/E38*1000000</f>
        <v>0.76065573770491812</v>
      </c>
    </row>
    <row r="39" spans="3:18" x14ac:dyDescent="0.2">
      <c r="C39" s="178">
        <v>33</v>
      </c>
      <c r="D39" s="6">
        <f t="shared" ref="D39:D70" si="28">C39/100*(VIN_max-VIN_min)+VIN_min</f>
        <v>12.61</v>
      </c>
      <c r="E39" s="456">
        <f t="shared" si="15"/>
        <v>15.25</v>
      </c>
      <c r="F39" s="225">
        <f t="shared" si="16"/>
        <v>0.54737975592246946</v>
      </c>
      <c r="G39" s="180">
        <f t="shared" si="17"/>
        <v>4.5038543162239764</v>
      </c>
      <c r="H39" s="225">
        <f t="shared" si="18"/>
        <v>0.30025695441493178</v>
      </c>
      <c r="I39" s="456">
        <f t="shared" si="19"/>
        <v>27.86</v>
      </c>
      <c r="J39" s="180">
        <f t="shared" si="20"/>
        <v>1.35</v>
      </c>
      <c r="K39" s="180">
        <f t="shared" si="21"/>
        <v>4.2823156225218089</v>
      </c>
      <c r="L39" s="180">
        <f t="shared" si="22"/>
        <v>3.5409836065573774</v>
      </c>
      <c r="M39" s="456">
        <f t="shared" si="14"/>
        <v>127.82330967004333</v>
      </c>
      <c r="N39" s="205">
        <f t="shared" si="23"/>
        <v>350</v>
      </c>
      <c r="O39" s="225">
        <f t="shared" si="24"/>
        <v>0.49303276587016703</v>
      </c>
      <c r="P39" s="181">
        <f t="shared" si="25"/>
        <v>1.2932006973643726</v>
      </c>
      <c r="Q39" s="181">
        <f t="shared" si="26"/>
        <v>0.11157830541318745</v>
      </c>
      <c r="R39" s="181">
        <f t="shared" si="27"/>
        <v>0.76065573770491812</v>
      </c>
    </row>
    <row r="40" spans="3:18" x14ac:dyDescent="0.2">
      <c r="C40" s="178">
        <v>34</v>
      </c>
      <c r="D40" s="6">
        <f t="shared" si="28"/>
        <v>12.780000000000001</v>
      </c>
      <c r="E40" s="456">
        <f t="shared" si="15"/>
        <v>15.25</v>
      </c>
      <c r="F40" s="225">
        <f t="shared" si="16"/>
        <v>0.54405993578308953</v>
      </c>
      <c r="G40" s="180">
        <f t="shared" si="17"/>
        <v>4.5368886014983953</v>
      </c>
      <c r="H40" s="225">
        <f t="shared" si="18"/>
        <v>0.302459240099893</v>
      </c>
      <c r="I40" s="456">
        <f t="shared" si="19"/>
        <v>28.03</v>
      </c>
      <c r="J40" s="180">
        <f t="shared" si="20"/>
        <v>1.35</v>
      </c>
      <c r="K40" s="180">
        <f t="shared" si="21"/>
        <v>4.225352112676056</v>
      </c>
      <c r="L40" s="180">
        <f t="shared" si="22"/>
        <v>3.5409836065573774</v>
      </c>
      <c r="M40" s="456">
        <f t="shared" si="14"/>
        <v>128.76085146866453</v>
      </c>
      <c r="N40" s="205">
        <f t="shared" si="23"/>
        <v>350</v>
      </c>
      <c r="O40" s="225">
        <f t="shared" si="24"/>
        <v>0.49664899852199174</v>
      </c>
      <c r="P40" s="181">
        <f t="shared" si="25"/>
        <v>1.3026858977626015</v>
      </c>
      <c r="Q40" s="181">
        <f t="shared" si="26"/>
        <v>0.1132210881396906</v>
      </c>
      <c r="R40" s="181">
        <f t="shared" si="27"/>
        <v>0.76065573770491812</v>
      </c>
    </row>
    <row r="41" spans="3:18" x14ac:dyDescent="0.2">
      <c r="C41" s="178">
        <v>35</v>
      </c>
      <c r="D41" s="6">
        <f t="shared" si="28"/>
        <v>12.95</v>
      </c>
      <c r="E41" s="456">
        <f t="shared" si="15"/>
        <v>15.25</v>
      </c>
      <c r="F41" s="225">
        <f t="shared" si="16"/>
        <v>0.54078014184397161</v>
      </c>
      <c r="G41" s="180">
        <f t="shared" si="17"/>
        <v>4.5695246010638293</v>
      </c>
      <c r="H41" s="225">
        <f t="shared" si="18"/>
        <v>0.30463497340425527</v>
      </c>
      <c r="I41" s="456">
        <f t="shared" si="19"/>
        <v>28.2</v>
      </c>
      <c r="J41" s="180">
        <f t="shared" si="20"/>
        <v>1.35</v>
      </c>
      <c r="K41" s="180">
        <f t="shared" si="21"/>
        <v>4.1698841698841704</v>
      </c>
      <c r="L41" s="180">
        <f t="shared" si="22"/>
        <v>3.5409836065573774</v>
      </c>
      <c r="M41" s="456">
        <f t="shared" si="14"/>
        <v>129.68708957184134</v>
      </c>
      <c r="N41" s="205">
        <f t="shared" si="23"/>
        <v>350</v>
      </c>
      <c r="O41" s="225">
        <f t="shared" si="24"/>
        <v>0.50022163120567376</v>
      </c>
      <c r="P41" s="181">
        <f t="shared" si="25"/>
        <v>1.3120567375886525</v>
      </c>
      <c r="Q41" s="181">
        <f t="shared" si="26"/>
        <v>0.11485585326442331</v>
      </c>
      <c r="R41" s="181">
        <f t="shared" si="27"/>
        <v>0.76065573770491812</v>
      </c>
    </row>
    <row r="42" spans="3:18" x14ac:dyDescent="0.2">
      <c r="C42" s="178">
        <v>36</v>
      </c>
      <c r="D42" s="6">
        <f t="shared" si="28"/>
        <v>13.120000000000001</v>
      </c>
      <c r="E42" s="456">
        <f t="shared" si="15"/>
        <v>15.25</v>
      </c>
      <c r="F42" s="225">
        <f t="shared" si="16"/>
        <v>0.537539654564681</v>
      </c>
      <c r="G42" s="180">
        <f t="shared" si="17"/>
        <v>4.6017694747973223</v>
      </c>
      <c r="H42" s="225">
        <f t="shared" si="18"/>
        <v>0.30678463165315484</v>
      </c>
      <c r="I42" s="456">
        <f t="shared" si="19"/>
        <v>28.37</v>
      </c>
      <c r="J42" s="180">
        <f t="shared" si="20"/>
        <v>1.35</v>
      </c>
      <c r="K42" s="180">
        <f t="shared" si="21"/>
        <v>4.1158536585365857</v>
      </c>
      <c r="L42" s="180">
        <f t="shared" si="22"/>
        <v>3.5409836065573774</v>
      </c>
      <c r="M42" s="456">
        <f t="shared" si="14"/>
        <v>130.60222718312247</v>
      </c>
      <c r="N42" s="205">
        <f t="shared" si="23"/>
        <v>350</v>
      </c>
      <c r="O42" s="225">
        <f t="shared" si="24"/>
        <v>0.50375144770632962</v>
      </c>
      <c r="P42" s="181">
        <f t="shared" si="25"/>
        <v>1.3213152726723401</v>
      </c>
      <c r="Q42" s="181">
        <f t="shared" si="26"/>
        <v>0.11648253425990562</v>
      </c>
      <c r="R42" s="181">
        <f t="shared" si="27"/>
        <v>0.76065573770491812</v>
      </c>
    </row>
    <row r="43" spans="3:18" x14ac:dyDescent="0.2">
      <c r="C43" s="178">
        <v>37</v>
      </c>
      <c r="D43" s="6">
        <f t="shared" si="28"/>
        <v>13.29</v>
      </c>
      <c r="E43" s="456">
        <f t="shared" si="15"/>
        <v>15.25</v>
      </c>
      <c r="F43" s="225">
        <f t="shared" si="16"/>
        <v>0.53433777154870354</v>
      </c>
      <c r="G43" s="180">
        <f t="shared" si="17"/>
        <v>4.6336302119831805</v>
      </c>
      <c r="H43" s="225">
        <f t="shared" si="18"/>
        <v>0.30890868079887868</v>
      </c>
      <c r="I43" s="456">
        <f t="shared" si="19"/>
        <v>28.54</v>
      </c>
      <c r="J43" s="180">
        <f t="shared" si="20"/>
        <v>1.35</v>
      </c>
      <c r="K43" s="180">
        <f t="shared" si="21"/>
        <v>4.0632054176072243</v>
      </c>
      <c r="L43" s="180">
        <f t="shared" si="22"/>
        <v>3.5409836065573774</v>
      </c>
      <c r="M43" s="456">
        <f t="shared" si="14"/>
        <v>131.50646266448646</v>
      </c>
      <c r="N43" s="205">
        <f t="shared" si="23"/>
        <v>350</v>
      </c>
      <c r="O43" s="225">
        <f t="shared" si="24"/>
        <v>0.50723921313444775</v>
      </c>
      <c r="P43" s="181">
        <f t="shared" si="25"/>
        <v>1.3304635098608466</v>
      </c>
      <c r="Q43" s="181">
        <f t="shared" si="26"/>
        <v>0.11810107117303449</v>
      </c>
      <c r="R43" s="181">
        <f t="shared" si="27"/>
        <v>0.76065573770491812</v>
      </c>
    </row>
    <row r="44" spans="3:18" x14ac:dyDescent="0.2">
      <c r="C44" s="178">
        <v>38</v>
      </c>
      <c r="D44" s="6">
        <f t="shared" si="28"/>
        <v>13.46</v>
      </c>
      <c r="E44" s="456">
        <f t="shared" si="15"/>
        <v>15.25</v>
      </c>
      <c r="F44" s="225">
        <f t="shared" si="16"/>
        <v>0.53117380703587602</v>
      </c>
      <c r="G44" s="180">
        <f t="shared" si="17"/>
        <v>4.6651136363636372</v>
      </c>
      <c r="H44" s="225">
        <f t="shared" si="18"/>
        <v>0.31100757575757582</v>
      </c>
      <c r="I44" s="456">
        <f t="shared" si="19"/>
        <v>28.71</v>
      </c>
      <c r="J44" s="180">
        <f t="shared" si="20"/>
        <v>1.35</v>
      </c>
      <c r="K44" s="180">
        <f t="shared" si="21"/>
        <v>4.0118870728083209</v>
      </c>
      <c r="L44" s="180">
        <f t="shared" si="22"/>
        <v>3.5409836065573774</v>
      </c>
      <c r="M44" s="456">
        <f t="shared" si="14"/>
        <v>132.39998967968316</v>
      </c>
      <c r="N44" s="205">
        <f t="shared" si="23"/>
        <v>350</v>
      </c>
      <c r="O44" s="225">
        <f t="shared" si="24"/>
        <v>0.51068567447877788</v>
      </c>
      <c r="P44" s="181">
        <f t="shared" si="25"/>
        <v>1.3395034084689259</v>
      </c>
      <c r="Q44" s="181">
        <f t="shared" si="26"/>
        <v>0.11971141028360069</v>
      </c>
      <c r="R44" s="181">
        <f t="shared" si="27"/>
        <v>0.76065573770491812</v>
      </c>
    </row>
    <row r="45" spans="3:18" x14ac:dyDescent="0.2">
      <c r="C45" s="178">
        <v>39</v>
      </c>
      <c r="D45" s="6">
        <f t="shared" si="28"/>
        <v>13.629999999999999</v>
      </c>
      <c r="E45" s="456">
        <f t="shared" si="15"/>
        <v>15.25</v>
      </c>
      <c r="F45" s="225">
        <f t="shared" si="16"/>
        <v>0.52804709141274242</v>
      </c>
      <c r="G45" s="180">
        <f t="shared" si="17"/>
        <v>4.6962264110110805</v>
      </c>
      <c r="H45" s="225">
        <f t="shared" si="18"/>
        <v>0.31308176073407201</v>
      </c>
      <c r="I45" s="456">
        <f t="shared" si="19"/>
        <v>28.88</v>
      </c>
      <c r="J45" s="180">
        <f t="shared" si="20"/>
        <v>1.35</v>
      </c>
      <c r="K45" s="180">
        <f t="shared" si="21"/>
        <v>3.961848862802642</v>
      </c>
      <c r="L45" s="180">
        <f t="shared" si="22"/>
        <v>3.5409836065573774</v>
      </c>
      <c r="M45" s="456">
        <f t="shared" si="14"/>
        <v>133.28299733251256</v>
      </c>
      <c r="N45" s="205">
        <f t="shared" si="23"/>
        <v>350</v>
      </c>
      <c r="O45" s="225">
        <f t="shared" si="24"/>
        <v>0.51409156113969112</v>
      </c>
      <c r="P45" s="181">
        <f t="shared" si="25"/>
        <v>1.3484368816778782</v>
      </c>
      <c r="Q45" s="181">
        <f t="shared" si="26"/>
        <v>0.12131350378002055</v>
      </c>
      <c r="R45" s="181">
        <f t="shared" si="27"/>
        <v>0.76065573770491812</v>
      </c>
    </row>
    <row r="46" spans="3:18" x14ac:dyDescent="0.2">
      <c r="C46" s="178">
        <v>40</v>
      </c>
      <c r="D46" s="6">
        <f t="shared" si="28"/>
        <v>13.8</v>
      </c>
      <c r="E46" s="456">
        <f t="shared" si="15"/>
        <v>15.25</v>
      </c>
      <c r="F46" s="225">
        <f t="shared" si="16"/>
        <v>0.52495697074010328</v>
      </c>
      <c r="G46" s="180">
        <f t="shared" si="17"/>
        <v>4.7269750430292596</v>
      </c>
      <c r="H46" s="225">
        <f t="shared" si="18"/>
        <v>0.31513166953528399</v>
      </c>
      <c r="I46" s="456">
        <f t="shared" si="19"/>
        <v>29.05</v>
      </c>
      <c r="J46" s="180">
        <f t="shared" si="20"/>
        <v>1.35</v>
      </c>
      <c r="K46" s="180">
        <f t="shared" si="21"/>
        <v>3.9130434782608701</v>
      </c>
      <c r="L46" s="180">
        <f t="shared" si="22"/>
        <v>3.5409836065573774</v>
      </c>
      <c r="M46" s="456">
        <f t="shared" si="14"/>
        <v>134.1556703002486</v>
      </c>
      <c r="N46" s="205">
        <f t="shared" si="23"/>
        <v>350</v>
      </c>
      <c r="O46" s="225">
        <f t="shared" si="24"/>
        <v>0.51745758544381593</v>
      </c>
      <c r="P46" s="181">
        <f t="shared" si="25"/>
        <v>1.3572657978854188</v>
      </c>
      <c r="Q46" s="181">
        <f t="shared" si="26"/>
        <v>0.12290730945137104</v>
      </c>
      <c r="R46" s="181">
        <f t="shared" si="27"/>
        <v>0.76065573770491812</v>
      </c>
    </row>
    <row r="47" spans="3:18" x14ac:dyDescent="0.2">
      <c r="C47" s="178">
        <v>41</v>
      </c>
      <c r="D47" s="6">
        <f t="shared" si="28"/>
        <v>13.969999999999999</v>
      </c>
      <c r="E47" s="456">
        <f t="shared" si="15"/>
        <v>15.25</v>
      </c>
      <c r="F47" s="225">
        <f t="shared" si="16"/>
        <v>0.52190280629705688</v>
      </c>
      <c r="G47" s="180">
        <f t="shared" si="17"/>
        <v>4.7573658880903489</v>
      </c>
      <c r="H47" s="225">
        <f t="shared" si="18"/>
        <v>0.31715772587268992</v>
      </c>
      <c r="I47" s="456">
        <f t="shared" si="19"/>
        <v>29.22</v>
      </c>
      <c r="J47" s="180">
        <f t="shared" si="20"/>
        <v>1.35</v>
      </c>
      <c r="K47" s="180">
        <f t="shared" si="21"/>
        <v>3.8654259126700077</v>
      </c>
      <c r="L47" s="180">
        <f t="shared" si="22"/>
        <v>3.5409836065573774</v>
      </c>
      <c r="M47" s="456">
        <f t="shared" si="14"/>
        <v>135.01818896240525</v>
      </c>
      <c r="N47" s="205">
        <f t="shared" si="23"/>
        <v>350</v>
      </c>
      <c r="O47" s="225">
        <f t="shared" si="24"/>
        <v>0.52078444314070593</v>
      </c>
      <c r="P47" s="181">
        <f t="shared" si="25"/>
        <v>1.3659919820084092</v>
      </c>
      <c r="Q47" s="181">
        <f t="shared" si="26"/>
        <v>0.12449279039486075</v>
      </c>
      <c r="R47" s="181">
        <f t="shared" si="27"/>
        <v>0.76065573770491812</v>
      </c>
    </row>
    <row r="48" spans="3:18" x14ac:dyDescent="0.2">
      <c r="C48" s="178">
        <v>42</v>
      </c>
      <c r="D48" s="6">
        <f t="shared" si="28"/>
        <v>14.14</v>
      </c>
      <c r="E48" s="456">
        <f t="shared" si="15"/>
        <v>15.25</v>
      </c>
      <c r="F48" s="225">
        <f t="shared" si="16"/>
        <v>0.51888397414086418</v>
      </c>
      <c r="G48" s="180">
        <f t="shared" si="17"/>
        <v>4.7874051548145617</v>
      </c>
      <c r="H48" s="225">
        <f t="shared" si="18"/>
        <v>0.31916034365430412</v>
      </c>
      <c r="I48" s="456">
        <f t="shared" si="19"/>
        <v>29.39</v>
      </c>
      <c r="J48" s="180">
        <f t="shared" si="20"/>
        <v>1.35</v>
      </c>
      <c r="K48" s="180">
        <f t="shared" si="21"/>
        <v>3.8189533239038194</v>
      </c>
      <c r="L48" s="180">
        <f t="shared" si="22"/>
        <v>3.5409836065573774</v>
      </c>
      <c r="M48" s="456">
        <f t="shared" si="14"/>
        <v>135.87072952503368</v>
      </c>
      <c r="N48" s="205">
        <f t="shared" si="23"/>
        <v>350</v>
      </c>
      <c r="O48" s="225">
        <f t="shared" si="24"/>
        <v>0.52407281388227278</v>
      </c>
      <c r="P48" s="181">
        <f t="shared" si="25"/>
        <v>1.3746172167403876</v>
      </c>
      <c r="Q48" s="181">
        <f t="shared" si="26"/>
        <v>0.12606991473792675</v>
      </c>
      <c r="R48" s="181">
        <f t="shared" si="27"/>
        <v>0.76065573770491812</v>
      </c>
    </row>
    <row r="49" spans="3:18" x14ac:dyDescent="0.2">
      <c r="C49" s="178">
        <v>43</v>
      </c>
      <c r="D49" s="6">
        <f t="shared" si="28"/>
        <v>14.309999999999999</v>
      </c>
      <c r="E49" s="456">
        <f t="shared" si="15"/>
        <v>15.25</v>
      </c>
      <c r="F49" s="225">
        <f t="shared" si="16"/>
        <v>0.51589986468200277</v>
      </c>
      <c r="G49" s="180">
        <f t="shared" si="17"/>
        <v>4.8170989089986467</v>
      </c>
      <c r="H49" s="225">
        <f t="shared" si="18"/>
        <v>0.32113992726657642</v>
      </c>
      <c r="I49" s="456">
        <f t="shared" si="19"/>
        <v>29.56</v>
      </c>
      <c r="J49" s="180">
        <f t="shared" si="20"/>
        <v>1.35</v>
      </c>
      <c r="K49" s="180">
        <f t="shared" si="21"/>
        <v>3.7735849056603783</v>
      </c>
      <c r="L49" s="180">
        <f t="shared" si="22"/>
        <v>3.5409836065573774</v>
      </c>
      <c r="M49" s="456">
        <f t="shared" si="14"/>
        <v>136.71346414073068</v>
      </c>
      <c r="N49" s="205">
        <f t="shared" si="23"/>
        <v>350</v>
      </c>
      <c r="O49" s="225">
        <f t="shared" si="24"/>
        <v>0.52732336168567562</v>
      </c>
      <c r="P49" s="181">
        <f t="shared" si="25"/>
        <v>1.3831432437657065</v>
      </c>
      <c r="Q49" s="181">
        <f t="shared" si="26"/>
        <v>0.12763865537418839</v>
      </c>
      <c r="R49" s="181">
        <f t="shared" si="27"/>
        <v>0.76065573770491812</v>
      </c>
    </row>
    <row r="50" spans="3:18" x14ac:dyDescent="0.2">
      <c r="C50" s="178">
        <v>44</v>
      </c>
      <c r="D50" s="6">
        <f t="shared" si="28"/>
        <v>14.48</v>
      </c>
      <c r="E50" s="456">
        <f t="shared" si="15"/>
        <v>15.25</v>
      </c>
      <c r="F50" s="225">
        <f t="shared" si="16"/>
        <v>0.51294988227379745</v>
      </c>
      <c r="G50" s="180">
        <f t="shared" si="17"/>
        <v>4.8464530776992936</v>
      </c>
      <c r="H50" s="225">
        <f t="shared" si="18"/>
        <v>0.32309687184661956</v>
      </c>
      <c r="I50" s="456">
        <f t="shared" si="19"/>
        <v>29.73</v>
      </c>
      <c r="J50" s="180">
        <f t="shared" si="20"/>
        <v>1.3463454397246628</v>
      </c>
      <c r="K50" s="180">
        <f t="shared" si="21"/>
        <v>3.7191862975819419</v>
      </c>
      <c r="L50" s="180">
        <f t="shared" si="22"/>
        <v>3.5313978746876402</v>
      </c>
      <c r="M50" s="456">
        <f t="shared" si="14"/>
        <v>137.91992151812775</v>
      </c>
      <c r="N50" s="205">
        <f t="shared" si="23"/>
        <v>350</v>
      </c>
      <c r="O50" s="225">
        <f t="shared" si="24"/>
        <v>0.53053673538032764</v>
      </c>
      <c r="P50" s="181">
        <f t="shared" si="25"/>
        <v>1.391571764932007</v>
      </c>
      <c r="Q50" s="181">
        <f t="shared" si="26"/>
        <v>0.12919898971253185</v>
      </c>
      <c r="R50" s="181">
        <f t="shared" si="27"/>
        <v>0.76065573770491812</v>
      </c>
    </row>
    <row r="51" spans="3:18" x14ac:dyDescent="0.2">
      <c r="C51" s="178">
        <v>45</v>
      </c>
      <c r="D51" s="6">
        <f t="shared" si="28"/>
        <v>14.65</v>
      </c>
      <c r="E51" s="456">
        <f t="shared" si="15"/>
        <v>15.25</v>
      </c>
      <c r="F51" s="225">
        <f t="shared" si="16"/>
        <v>0.51003344481605351</v>
      </c>
      <c r="G51" s="180">
        <f t="shared" si="17"/>
        <v>4.875473453177257</v>
      </c>
      <c r="H51" s="225">
        <f t="shared" si="18"/>
        <v>0.32503156354515045</v>
      </c>
      <c r="I51" s="456">
        <f t="shared" si="19"/>
        <v>29.9</v>
      </c>
      <c r="J51" s="180">
        <f t="shared" si="20"/>
        <v>1.3383315615733229</v>
      </c>
      <c r="K51" s="180">
        <f t="shared" si="21"/>
        <v>3.6541476083913258</v>
      </c>
      <c r="L51" s="180">
        <f t="shared" si="22"/>
        <v>3.5103778664218312</v>
      </c>
      <c r="M51" s="456">
        <f t="shared" si="14"/>
        <v>139.57658515075332</v>
      </c>
      <c r="N51" s="205">
        <f t="shared" si="23"/>
        <v>350</v>
      </c>
      <c r="O51" s="225">
        <f t="shared" si="24"/>
        <v>0.53371356903965594</v>
      </c>
      <c r="P51" s="181">
        <f t="shared" si="25"/>
        <v>1.3999044433827044</v>
      </c>
      <c r="Q51" s="181">
        <f t="shared" si="26"/>
        <v>0.13075089943864482</v>
      </c>
      <c r="R51" s="181">
        <f t="shared" si="27"/>
        <v>0.76065573770491812</v>
      </c>
    </row>
    <row r="52" spans="3:18" x14ac:dyDescent="0.2">
      <c r="C52" s="178">
        <v>46</v>
      </c>
      <c r="D52" s="6">
        <f t="shared" si="28"/>
        <v>14.82</v>
      </c>
      <c r="E52" s="456">
        <f t="shared" si="15"/>
        <v>15.25</v>
      </c>
      <c r="F52" s="225">
        <f t="shared" si="16"/>
        <v>0.50714998337213169</v>
      </c>
      <c r="G52" s="180">
        <f t="shared" si="17"/>
        <v>4.9041656967076817</v>
      </c>
      <c r="H52" s="225">
        <f t="shared" si="18"/>
        <v>0.32694437978051211</v>
      </c>
      <c r="I52" s="456">
        <f t="shared" si="19"/>
        <v>30.07</v>
      </c>
      <c r="J52" s="180">
        <f t="shared" si="20"/>
        <v>1.3305015375766023</v>
      </c>
      <c r="K52" s="180">
        <f t="shared" si="21"/>
        <v>3.591097267413232</v>
      </c>
      <c r="L52" s="180">
        <f t="shared" si="22"/>
        <v>3.4898400985615803</v>
      </c>
      <c r="M52" s="456">
        <f t="shared" si="14"/>
        <v>141.2242402828164</v>
      </c>
      <c r="N52" s="205">
        <f t="shared" si="23"/>
        <v>350</v>
      </c>
      <c r="O52" s="225">
        <f t="shared" si="24"/>
        <v>0.53685448239821365</v>
      </c>
      <c r="P52" s="181">
        <f t="shared" si="25"/>
        <v>1.4081429046510523</v>
      </c>
      <c r="Q52" s="181">
        <f t="shared" si="26"/>
        <v>0.13229437028835261</v>
      </c>
      <c r="R52" s="181">
        <f t="shared" si="27"/>
        <v>0.76065573770491812</v>
      </c>
    </row>
    <row r="53" spans="3:18" x14ac:dyDescent="0.2">
      <c r="C53" s="178">
        <v>47</v>
      </c>
      <c r="D53" s="6">
        <f t="shared" si="28"/>
        <v>14.989999999999998</v>
      </c>
      <c r="E53" s="456">
        <f t="shared" si="15"/>
        <v>15.25</v>
      </c>
      <c r="F53" s="225">
        <f t="shared" si="16"/>
        <v>0.50429894179894186</v>
      </c>
      <c r="G53" s="180">
        <f t="shared" si="17"/>
        <v>4.9325353422619047</v>
      </c>
      <c r="H53" s="225">
        <f t="shared" si="18"/>
        <v>0.328835689484127</v>
      </c>
      <c r="I53" s="456">
        <f t="shared" si="19"/>
        <v>30.24</v>
      </c>
      <c r="J53" s="180">
        <f t="shared" si="20"/>
        <v>1.3228491125231028</v>
      </c>
      <c r="K53" s="180">
        <f t="shared" si="21"/>
        <v>3.5299509340176196</v>
      </c>
      <c r="L53" s="180">
        <f t="shared" si="22"/>
        <v>3.469768163995024</v>
      </c>
      <c r="M53" s="456">
        <f t="shared" si="14"/>
        <v>142.86287578081803</v>
      </c>
      <c r="N53" s="205">
        <f t="shared" si="23"/>
        <v>350</v>
      </c>
      <c r="O53" s="225">
        <f t="shared" si="24"/>
        <v>0.53996008125472394</v>
      </c>
      <c r="P53" s="181">
        <f t="shared" si="25"/>
        <v>1.4162887377173088</v>
      </c>
      <c r="Q53" s="181">
        <f t="shared" si="26"/>
        <v>0.13382939183214798</v>
      </c>
      <c r="R53" s="181">
        <f t="shared" si="27"/>
        <v>0.76065573770491812</v>
      </c>
    </row>
    <row r="54" spans="3:18" x14ac:dyDescent="0.2">
      <c r="C54" s="178">
        <v>48</v>
      </c>
      <c r="D54" s="6">
        <f t="shared" si="28"/>
        <v>15.16</v>
      </c>
      <c r="E54" s="456">
        <f t="shared" si="15"/>
        <v>15.25</v>
      </c>
      <c r="F54" s="225">
        <f t="shared" si="16"/>
        <v>0.5014797763893456</v>
      </c>
      <c r="G54" s="180">
        <f t="shared" si="17"/>
        <v>4.9605878000657677</v>
      </c>
      <c r="H54" s="225">
        <f t="shared" si="18"/>
        <v>0.33070585333771785</v>
      </c>
      <c r="I54" s="456">
        <f t="shared" si="19"/>
        <v>30.41</v>
      </c>
      <c r="J54" s="180">
        <f t="shared" si="20"/>
        <v>1.3153683117781911</v>
      </c>
      <c r="K54" s="180">
        <f t="shared" si="21"/>
        <v>3.4706287909714812</v>
      </c>
      <c r="L54" s="180">
        <f t="shared" si="22"/>
        <v>3.4501463915493544</v>
      </c>
      <c r="M54" s="456">
        <f t="shared" si="14"/>
        <v>144.49248438608552</v>
      </c>
      <c r="N54" s="205">
        <f t="shared" si="23"/>
        <v>350</v>
      </c>
      <c r="O54" s="225">
        <f t="shared" si="24"/>
        <v>0.5430309578616056</v>
      </c>
      <c r="P54" s="181">
        <f t="shared" si="25"/>
        <v>1.4243434960304411</v>
      </c>
      <c r="Q54" s="181">
        <f t="shared" si="26"/>
        <v>0.13535595727033775</v>
      </c>
      <c r="R54" s="181">
        <f t="shared" si="27"/>
        <v>0.76065573770491812</v>
      </c>
    </row>
    <row r="55" spans="3:18" x14ac:dyDescent="0.2">
      <c r="C55" s="178">
        <v>49</v>
      </c>
      <c r="D55" s="6">
        <f t="shared" si="28"/>
        <v>15.33</v>
      </c>
      <c r="E55" s="456">
        <f t="shared" si="15"/>
        <v>15.25</v>
      </c>
      <c r="F55" s="225">
        <f t="shared" si="16"/>
        <v>0.49869195552648793</v>
      </c>
      <c r="G55" s="180">
        <f t="shared" si="17"/>
        <v>4.9883283600392421</v>
      </c>
      <c r="H55" s="225">
        <f t="shared" si="18"/>
        <v>0.33255522400261611</v>
      </c>
      <c r="I55" s="456">
        <f t="shared" si="19"/>
        <v>30.58</v>
      </c>
      <c r="J55" s="180">
        <f t="shared" si="20"/>
        <v>1.3080534257269041</v>
      </c>
      <c r="K55" s="180">
        <f t="shared" si="21"/>
        <v>3.4130552530382365</v>
      </c>
      <c r="L55" s="180">
        <f t="shared" si="22"/>
        <v>3.4309598051853225</v>
      </c>
      <c r="M55" s="456">
        <f t="shared" si="14"/>
        <v>146.11306250684393</v>
      </c>
      <c r="N55" s="205">
        <f t="shared" si="23"/>
        <v>350</v>
      </c>
      <c r="O55" s="225">
        <f t="shared" si="24"/>
        <v>0.54606769130150412</v>
      </c>
      <c r="P55" s="181">
        <f t="shared" si="25"/>
        <v>1.4323086984957485</v>
      </c>
      <c r="Q55" s="181">
        <f t="shared" si="26"/>
        <v>0.13687406323826121</v>
      </c>
      <c r="R55" s="181">
        <f t="shared" si="27"/>
        <v>0.76065573770491812</v>
      </c>
    </row>
    <row r="56" spans="3:18" x14ac:dyDescent="0.2">
      <c r="C56" s="178">
        <v>50</v>
      </c>
      <c r="D56" s="6">
        <f t="shared" si="28"/>
        <v>15.5</v>
      </c>
      <c r="E56" s="456">
        <f t="shared" si="15"/>
        <v>15.25</v>
      </c>
      <c r="F56" s="225">
        <f t="shared" si="16"/>
        <v>0.49593495934959347</v>
      </c>
      <c r="G56" s="180">
        <f t="shared" si="17"/>
        <v>5.0157621951219511</v>
      </c>
      <c r="H56" s="225">
        <f t="shared" si="18"/>
        <v>0.33438414634146341</v>
      </c>
      <c r="I56" s="456">
        <f t="shared" si="19"/>
        <v>30.75</v>
      </c>
      <c r="J56" s="180">
        <f t="shared" si="20"/>
        <v>1.3008989952406134</v>
      </c>
      <c r="K56" s="180">
        <f t="shared" si="21"/>
        <v>3.3571586973951315</v>
      </c>
      <c r="L56" s="180">
        <f t="shared" si="22"/>
        <v>3.4121940858770188</v>
      </c>
      <c r="M56" s="456">
        <f t="shared" si="14"/>
        <v>147.72461002049045</v>
      </c>
      <c r="N56" s="205">
        <f t="shared" si="23"/>
        <v>350</v>
      </c>
      <c r="O56" s="225">
        <f t="shared" si="24"/>
        <v>0.54907084785133553</v>
      </c>
      <c r="P56" s="181">
        <f t="shared" si="25"/>
        <v>1.4401858304297326</v>
      </c>
      <c r="Q56" s="181">
        <f t="shared" si="26"/>
        <v>0.13838370962106827</v>
      </c>
      <c r="R56" s="181">
        <f t="shared" si="27"/>
        <v>0.76065573770491812</v>
      </c>
    </row>
    <row r="57" spans="3:18" x14ac:dyDescent="0.2">
      <c r="C57" s="178">
        <v>51</v>
      </c>
      <c r="D57" s="6">
        <f t="shared" si="28"/>
        <v>15.67</v>
      </c>
      <c r="E57" s="456">
        <f t="shared" si="15"/>
        <v>15.25</v>
      </c>
      <c r="F57" s="225">
        <f t="shared" si="16"/>
        <v>0.4932082794307891</v>
      </c>
      <c r="G57" s="180">
        <f t="shared" si="17"/>
        <v>5.042894364489003</v>
      </c>
      <c r="H57" s="225">
        <f t="shared" si="18"/>
        <v>0.33619295763260021</v>
      </c>
      <c r="I57" s="456">
        <f t="shared" si="19"/>
        <v>30.92</v>
      </c>
      <c r="J57" s="180">
        <f t="shared" si="20"/>
        <v>1.2938997980896985</v>
      </c>
      <c r="K57" s="180">
        <f t="shared" si="21"/>
        <v>3.3028712140132699</v>
      </c>
      <c r="L57" s="180">
        <f t="shared" si="22"/>
        <v>3.3938355359729799</v>
      </c>
      <c r="M57" s="456">
        <f t="shared" si="14"/>
        <v>149.32713008555336</v>
      </c>
      <c r="N57" s="205">
        <f t="shared" si="23"/>
        <v>350</v>
      </c>
      <c r="O57" s="225">
        <f t="shared" si="24"/>
        <v>0.552040981334319</v>
      </c>
      <c r="P57" s="181">
        <f t="shared" si="25"/>
        <v>1.4479763444834599</v>
      </c>
      <c r="Q57" s="181">
        <f t="shared" si="26"/>
        <v>0.1398848993775676</v>
      </c>
      <c r="R57" s="181">
        <f t="shared" si="27"/>
        <v>0.76065573770491812</v>
      </c>
    </row>
    <row r="58" spans="3:18" x14ac:dyDescent="0.2">
      <c r="C58" s="178">
        <v>52</v>
      </c>
      <c r="D58" s="6">
        <f t="shared" si="28"/>
        <v>15.84</v>
      </c>
      <c r="E58" s="456">
        <f t="shared" si="15"/>
        <v>15.25</v>
      </c>
      <c r="F58" s="225">
        <f t="shared" si="16"/>
        <v>0.49051141846252816</v>
      </c>
      <c r="G58" s="180">
        <f t="shared" si="17"/>
        <v>5.0697298166613054</v>
      </c>
      <c r="H58" s="225">
        <f t="shared" si="18"/>
        <v>0.33798198777742033</v>
      </c>
      <c r="I58" s="456">
        <f t="shared" si="19"/>
        <v>31.09</v>
      </c>
      <c r="J58" s="180">
        <f t="shared" si="20"/>
        <v>1.2870508362311639</v>
      </c>
      <c r="K58" s="180">
        <f t="shared" si="21"/>
        <v>3.2501283743211209</v>
      </c>
      <c r="L58" s="180">
        <f t="shared" si="22"/>
        <v>3.3758710458522332</v>
      </c>
      <c r="M58" s="456">
        <f t="shared" si="14"/>
        <v>150.92062896284367</v>
      </c>
      <c r="N58" s="205">
        <f t="shared" si="23"/>
        <v>350</v>
      </c>
      <c r="O58" s="225">
        <f t="shared" si="24"/>
        <v>0.55497863346046028</v>
      </c>
      <c r="P58" s="181">
        <f t="shared" si="25"/>
        <v>1.4556816615356336</v>
      </c>
      <c r="Q58" s="181">
        <f t="shared" si="26"/>
        <v>0.14137763837268719</v>
      </c>
      <c r="R58" s="181">
        <f t="shared" si="27"/>
        <v>0.76065573770491812</v>
      </c>
    </row>
    <row r="59" spans="3:18" x14ac:dyDescent="0.2">
      <c r="C59" s="178">
        <v>53</v>
      </c>
      <c r="D59" s="6">
        <f t="shared" si="28"/>
        <v>16.009999999999998</v>
      </c>
      <c r="E59" s="456">
        <f t="shared" si="15"/>
        <v>15.25</v>
      </c>
      <c r="F59" s="225">
        <f t="shared" si="16"/>
        <v>0.48784388995521438</v>
      </c>
      <c r="G59" s="180">
        <f t="shared" si="17"/>
        <v>5.0962733925143953</v>
      </c>
      <c r="H59" s="225">
        <f t="shared" si="18"/>
        <v>0.3397515595009597</v>
      </c>
      <c r="I59" s="456">
        <f t="shared" si="19"/>
        <v>31.259999999999998</v>
      </c>
      <c r="J59" s="180">
        <f t="shared" si="20"/>
        <v>1.2803473239061651</v>
      </c>
      <c r="K59" s="180">
        <f t="shared" si="21"/>
        <v>3.1988690166300198</v>
      </c>
      <c r="L59" s="180">
        <f t="shared" si="22"/>
        <v>3.3582880627046956</v>
      </c>
      <c r="M59" s="456">
        <f t="shared" si="14"/>
        <v>152.50511584533513</v>
      </c>
      <c r="N59" s="205">
        <f t="shared" si="23"/>
        <v>350</v>
      </c>
      <c r="O59" s="225">
        <f t="shared" si="24"/>
        <v>0.55788433415592709</v>
      </c>
      <c r="P59" s="181">
        <f t="shared" si="25"/>
        <v>1.4633031715565303</v>
      </c>
      <c r="Q59" s="181">
        <f t="shared" si="26"/>
        <v>0.14286193521811247</v>
      </c>
      <c r="R59" s="181">
        <f t="shared" si="27"/>
        <v>0.76065573770491812</v>
      </c>
    </row>
    <row r="60" spans="3:18" x14ac:dyDescent="0.2">
      <c r="C60" s="178">
        <v>54</v>
      </c>
      <c r="D60" s="6">
        <f t="shared" si="28"/>
        <v>16.18</v>
      </c>
      <c r="E60" s="456">
        <f t="shared" si="15"/>
        <v>15.25</v>
      </c>
      <c r="F60" s="225">
        <f t="shared" si="16"/>
        <v>0.48520521794463889</v>
      </c>
      <c r="G60" s="180">
        <f t="shared" si="17"/>
        <v>5.1225298281896281</v>
      </c>
      <c r="H60" s="225">
        <f t="shared" si="18"/>
        <v>0.34150198854597519</v>
      </c>
      <c r="I60" s="456">
        <f t="shared" si="19"/>
        <v>31.43</v>
      </c>
      <c r="J60" s="180">
        <f t="shared" si="20"/>
        <v>1.2737846764878722</v>
      </c>
      <c r="K60" s="180">
        <f t="shared" si="21"/>
        <v>3.149035046941588</v>
      </c>
      <c r="L60" s="180">
        <f t="shared" si="22"/>
        <v>3.3410745612796648</v>
      </c>
      <c r="M60" s="456">
        <f t="shared" si="14"/>
        <v>154.08060269633415</v>
      </c>
      <c r="N60" s="205">
        <f t="shared" si="23"/>
        <v>350</v>
      </c>
      <c r="O60" s="225">
        <f t="shared" si="24"/>
        <v>0.56075860188173254</v>
      </c>
      <c r="P60" s="181">
        <f t="shared" si="25"/>
        <v>1.4708422344438887</v>
      </c>
      <c r="Q60" s="181">
        <f t="shared" si="26"/>
        <v>0.14433780112068775</v>
      </c>
      <c r="R60" s="181">
        <f t="shared" si="27"/>
        <v>0.76065573770491812</v>
      </c>
    </row>
    <row r="61" spans="3:18" x14ac:dyDescent="0.2">
      <c r="C61" s="178">
        <v>55</v>
      </c>
      <c r="D61" s="6">
        <f t="shared" si="28"/>
        <v>16.350000000000001</v>
      </c>
      <c r="E61" s="456">
        <f t="shared" si="15"/>
        <v>15.25</v>
      </c>
      <c r="F61" s="225">
        <f t="shared" si="16"/>
        <v>0.48259493670886072</v>
      </c>
      <c r="G61" s="180">
        <f t="shared" si="17"/>
        <v>5.1485037579113921</v>
      </c>
      <c r="H61" s="225">
        <f t="shared" si="18"/>
        <v>0.34323358386075947</v>
      </c>
      <c r="I61" s="456">
        <f t="shared" si="19"/>
        <v>31.6</v>
      </c>
      <c r="J61" s="180">
        <f t="shared" si="20"/>
        <v>1.2673585000250662</v>
      </c>
      <c r="K61" s="180">
        <f t="shared" si="21"/>
        <v>3.1005712538839543</v>
      </c>
      <c r="L61" s="180">
        <f t="shared" si="22"/>
        <v>3.3242190164591903</v>
      </c>
      <c r="M61" s="456">
        <f t="shared" si="14"/>
        <v>155.64710409552256</v>
      </c>
      <c r="N61" s="205">
        <f t="shared" si="23"/>
        <v>350</v>
      </c>
      <c r="O61" s="225">
        <f t="shared" si="24"/>
        <v>0.5636019439421337</v>
      </c>
      <c r="P61" s="181">
        <f t="shared" si="25"/>
        <v>1.4783001808318263</v>
      </c>
      <c r="Q61" s="181">
        <f t="shared" si="26"/>
        <v>0.14580524973819439</v>
      </c>
      <c r="R61" s="181">
        <f t="shared" si="27"/>
        <v>0.76065573770491812</v>
      </c>
    </row>
    <row r="62" spans="3:18" x14ac:dyDescent="0.2">
      <c r="C62" s="178">
        <v>56</v>
      </c>
      <c r="D62" s="6">
        <f t="shared" si="28"/>
        <v>16.520000000000003</v>
      </c>
      <c r="E62" s="456">
        <f t="shared" si="15"/>
        <v>15.25</v>
      </c>
      <c r="F62" s="225">
        <f t="shared" si="16"/>
        <v>0.48001259049417683</v>
      </c>
      <c r="G62" s="180">
        <f t="shared" si="17"/>
        <v>5.1741997167138809</v>
      </c>
      <c r="H62" s="225">
        <f t="shared" si="18"/>
        <v>0.34494664778092538</v>
      </c>
      <c r="I62" s="456">
        <f t="shared" si="19"/>
        <v>31.770000000000003</v>
      </c>
      <c r="J62" s="180">
        <f t="shared" si="20"/>
        <v>1.2610645814313499</v>
      </c>
      <c r="K62" s="180">
        <f t="shared" si="21"/>
        <v>3.0534251366376508</v>
      </c>
      <c r="L62" s="180">
        <f t="shared" si="22"/>
        <v>3.3077103775248524</v>
      </c>
      <c r="M62" s="456">
        <f t="shared" si="14"/>
        <v>157.2046370924796</v>
      </c>
      <c r="N62" s="205">
        <f t="shared" si="23"/>
        <v>350</v>
      </c>
      <c r="O62" s="225">
        <f t="shared" si="24"/>
        <v>0.56641485678312875</v>
      </c>
      <c r="P62" s="181">
        <f t="shared" si="25"/>
        <v>1.4856783128737805</v>
      </c>
      <c r="Q62" s="181">
        <f t="shared" si="26"/>
        <v>0.14726429704213548</v>
      </c>
      <c r="R62" s="181">
        <f t="shared" si="27"/>
        <v>0.76065573770491812</v>
      </c>
    </row>
    <row r="63" spans="3:18" x14ac:dyDescent="0.2">
      <c r="C63" s="178">
        <v>57</v>
      </c>
      <c r="D63" s="6">
        <f t="shared" si="28"/>
        <v>16.689999999999998</v>
      </c>
      <c r="E63" s="456">
        <f t="shared" si="15"/>
        <v>15.25</v>
      </c>
      <c r="F63" s="225">
        <f t="shared" si="16"/>
        <v>0.47745773324984347</v>
      </c>
      <c r="G63" s="180">
        <f t="shared" si="17"/>
        <v>5.1996221430807763</v>
      </c>
      <c r="H63" s="225">
        <f t="shared" si="18"/>
        <v>0.3466414762053851</v>
      </c>
      <c r="I63" s="456">
        <f t="shared" si="19"/>
        <v>31.939999999999998</v>
      </c>
      <c r="J63" s="180">
        <f t="shared" si="20"/>
        <v>1.2548988792739346</v>
      </c>
      <c r="K63" s="180">
        <f t="shared" si="21"/>
        <v>3.0075467448147033</v>
      </c>
      <c r="L63" s="180">
        <f t="shared" si="22"/>
        <v>3.291538043997206</v>
      </c>
      <c r="M63" s="456">
        <f t="shared" si="14"/>
        <v>158.7532210673121</v>
      </c>
      <c r="N63" s="205">
        <f t="shared" si="23"/>
        <v>350</v>
      </c>
      <c r="O63" s="225">
        <f t="shared" si="24"/>
        <v>0.56919782628142046</v>
      </c>
      <c r="P63" s="181">
        <f t="shared" si="25"/>
        <v>1.4929779050004475</v>
      </c>
      <c r="Q63" s="181">
        <f t="shared" si="26"/>
        <v>0.14871496118717767</v>
      </c>
      <c r="R63" s="181">
        <f t="shared" si="27"/>
        <v>0.76065573770491812</v>
      </c>
    </row>
    <row r="64" spans="3:18" x14ac:dyDescent="0.2">
      <c r="C64" s="178">
        <v>58</v>
      </c>
      <c r="D64" s="6">
        <f t="shared" si="28"/>
        <v>16.86</v>
      </c>
      <c r="E64" s="456">
        <f t="shared" si="15"/>
        <v>15.25</v>
      </c>
      <c r="F64" s="225">
        <f t="shared" si="16"/>
        <v>0.47492992837122394</v>
      </c>
      <c r="G64" s="180">
        <f t="shared" si="17"/>
        <v>5.2247753815010904</v>
      </c>
      <c r="H64" s="225">
        <f t="shared" si="18"/>
        <v>0.34831835876673939</v>
      </c>
      <c r="I64" s="456">
        <f t="shared" si="19"/>
        <v>32.11</v>
      </c>
      <c r="J64" s="180">
        <f t="shared" si="20"/>
        <v>1.2488575151196935</v>
      </c>
      <c r="K64" s="180">
        <f t="shared" si="21"/>
        <v>2.962888529346841</v>
      </c>
      <c r="L64" s="180">
        <f t="shared" si="22"/>
        <v>3.2756918429369013</v>
      </c>
      <c r="M64" s="456">
        <f t="shared" si="14"/>
        <v>160.29287759803796</v>
      </c>
      <c r="N64" s="205">
        <f t="shared" si="23"/>
        <v>350</v>
      </c>
      <c r="O64" s="225">
        <f t="shared" si="24"/>
        <v>0.57195132802420245</v>
      </c>
      <c r="P64" s="181">
        <f t="shared" si="25"/>
        <v>1.500200204653646</v>
      </c>
      <c r="Q64" s="181">
        <f t="shared" si="26"/>
        <v>0.15015726238692079</v>
      </c>
      <c r="R64" s="181">
        <f t="shared" si="27"/>
        <v>0.76065573770491812</v>
      </c>
    </row>
    <row r="65" spans="3:18" x14ac:dyDescent="0.2">
      <c r="C65" s="178">
        <v>59</v>
      </c>
      <c r="D65" s="6">
        <f t="shared" si="28"/>
        <v>17.03</v>
      </c>
      <c r="E65" s="456">
        <f t="shared" si="15"/>
        <v>15.25</v>
      </c>
      <c r="F65" s="225">
        <f t="shared" si="16"/>
        <v>0.47242874845105326</v>
      </c>
      <c r="G65" s="180">
        <f t="shared" si="17"/>
        <v>5.2496636849442382</v>
      </c>
      <c r="H65" s="225">
        <f t="shared" si="18"/>
        <v>0.34997757899628257</v>
      </c>
      <c r="I65" s="456">
        <f t="shared" si="19"/>
        <v>32.28</v>
      </c>
      <c r="J65" s="180">
        <f t="shared" si="20"/>
        <v>1.242936765399536</v>
      </c>
      <c r="K65" s="180">
        <f t="shared" si="21"/>
        <v>2.9194052035221048</v>
      </c>
      <c r="L65" s="180">
        <f t="shared" si="22"/>
        <v>3.2601620076053406</v>
      </c>
      <c r="M65" s="456">
        <f t="shared" si="14"/>
        <v>161.82363033438918</v>
      </c>
      <c r="N65" s="205">
        <f t="shared" si="23"/>
        <v>350</v>
      </c>
      <c r="O65" s="225">
        <f t="shared" si="24"/>
        <v>0.57467582758010261</v>
      </c>
      <c r="P65" s="181">
        <f t="shared" si="25"/>
        <v>1.5073464329969906</v>
      </c>
      <c r="Q65" s="181">
        <f t="shared" si="26"/>
        <v>0.15159122279568071</v>
      </c>
      <c r="R65" s="181">
        <f t="shared" si="27"/>
        <v>0.76065573770491812</v>
      </c>
    </row>
    <row r="66" spans="3:18" x14ac:dyDescent="0.2">
      <c r="C66" s="178">
        <v>60</v>
      </c>
      <c r="D66" s="6">
        <f t="shared" si="28"/>
        <v>17.2</v>
      </c>
      <c r="E66" s="456">
        <f t="shared" si="15"/>
        <v>15.25</v>
      </c>
      <c r="F66" s="225">
        <f t="shared" si="16"/>
        <v>0.46995377503852076</v>
      </c>
      <c r="G66" s="180">
        <f t="shared" si="17"/>
        <v>5.2742912172573178</v>
      </c>
      <c r="H66" s="225">
        <f t="shared" si="18"/>
        <v>0.35161941448382117</v>
      </c>
      <c r="I66" s="456">
        <f t="shared" si="19"/>
        <v>32.450000000000003</v>
      </c>
      <c r="J66" s="180">
        <f t="shared" si="20"/>
        <v>1.2371330537552421</v>
      </c>
      <c r="K66" s="180">
        <f t="shared" si="21"/>
        <v>2.8770536133842843</v>
      </c>
      <c r="L66" s="180">
        <f t="shared" si="22"/>
        <v>3.2449391573907991</v>
      </c>
      <c r="M66" s="456">
        <f t="shared" si="14"/>
        <v>163.3455048777187</v>
      </c>
      <c r="N66" s="205">
        <f t="shared" si="23"/>
        <v>350</v>
      </c>
      <c r="O66" s="225">
        <f t="shared" si="24"/>
        <v>0.57737178076161122</v>
      </c>
      <c r="P66" s="181">
        <f t="shared" si="25"/>
        <v>1.5144177856042262</v>
      </c>
      <c r="Q66" s="181">
        <f t="shared" si="26"/>
        <v>0.15301686639598941</v>
      </c>
      <c r="R66" s="181">
        <f t="shared" si="27"/>
        <v>0.76065573770491812</v>
      </c>
    </row>
    <row r="67" spans="3:18" x14ac:dyDescent="0.2">
      <c r="C67" s="178">
        <v>61</v>
      </c>
      <c r="D67" s="6">
        <f t="shared" si="28"/>
        <v>17.369999999999997</v>
      </c>
      <c r="E67" s="456">
        <f t="shared" si="15"/>
        <v>15.25</v>
      </c>
      <c r="F67" s="225">
        <f t="shared" si="16"/>
        <v>0.46750459840588598</v>
      </c>
      <c r="G67" s="180">
        <f t="shared" si="17"/>
        <v>5.29866205548743</v>
      </c>
      <c r="H67" s="225">
        <f t="shared" si="18"/>
        <v>0.35324413703249535</v>
      </c>
      <c r="I67" s="456">
        <f t="shared" si="19"/>
        <v>32.619999999999997</v>
      </c>
      <c r="J67" s="180">
        <f t="shared" si="20"/>
        <v>1.2314429438357071</v>
      </c>
      <c r="K67" s="180">
        <f t="shared" si="21"/>
        <v>2.8357926167776797</v>
      </c>
      <c r="L67" s="180">
        <f t="shared" si="22"/>
        <v>3.2300142789133299</v>
      </c>
      <c r="M67" s="456">
        <f t="shared" si="14"/>
        <v>164.85852866670942</v>
      </c>
      <c r="N67" s="205">
        <f t="shared" si="23"/>
        <v>350</v>
      </c>
      <c r="O67" s="225">
        <f t="shared" si="24"/>
        <v>0.58003963387930269</v>
      </c>
      <c r="P67" s="181">
        <f t="shared" si="25"/>
        <v>1.5214154331260399</v>
      </c>
      <c r="Q67" s="181">
        <f t="shared" si="26"/>
        <v>0.15443421889153106</v>
      </c>
      <c r="R67" s="181">
        <f t="shared" si="27"/>
        <v>0.76065573770491812</v>
      </c>
    </row>
    <row r="68" spans="3:18" x14ac:dyDescent="0.2">
      <c r="C68" s="178">
        <v>62</v>
      </c>
      <c r="D68" s="6">
        <f t="shared" si="28"/>
        <v>17.54</v>
      </c>
      <c r="E68" s="456">
        <f t="shared" si="15"/>
        <v>15.25</v>
      </c>
      <c r="F68" s="225">
        <f t="shared" si="16"/>
        <v>0.4650808173223544</v>
      </c>
      <c r="G68" s="180">
        <f t="shared" si="17"/>
        <v>5.3227801921317477</v>
      </c>
      <c r="H68" s="225">
        <f t="shared" si="18"/>
        <v>0.3548520128087832</v>
      </c>
      <c r="I68" s="456">
        <f t="shared" si="19"/>
        <v>32.79</v>
      </c>
      <c r="J68" s="180">
        <f t="shared" si="20"/>
        <v>1.2258631325121034</v>
      </c>
      <c r="K68" s="180">
        <f t="shared" si="21"/>
        <v>2.7955829703810799</v>
      </c>
      <c r="L68" s="180">
        <f t="shared" si="22"/>
        <v>3.2153787082284682</v>
      </c>
      <c r="M68" s="456">
        <f t="shared" si="14"/>
        <v>166.36273086860191</v>
      </c>
      <c r="N68" s="205">
        <f t="shared" si="23"/>
        <v>350</v>
      </c>
      <c r="O68" s="225">
        <f t="shared" si="24"/>
        <v>0.58267982398814955</v>
      </c>
      <c r="P68" s="181">
        <f t="shared" si="25"/>
        <v>1.5283405219361301</v>
      </c>
      <c r="Q68" s="181">
        <f t="shared" si="26"/>
        <v>0.15584330760524764</v>
      </c>
      <c r="R68" s="181">
        <f t="shared" si="27"/>
        <v>0.76065573770491812</v>
      </c>
    </row>
    <row r="69" spans="3:18" x14ac:dyDescent="0.2">
      <c r="C69" s="178">
        <v>63</v>
      </c>
      <c r="D69" s="6">
        <f t="shared" si="28"/>
        <v>17.71</v>
      </c>
      <c r="E69" s="456">
        <f t="shared" si="15"/>
        <v>15.25</v>
      </c>
      <c r="F69" s="225">
        <f t="shared" si="16"/>
        <v>0.46268203883495146</v>
      </c>
      <c r="G69" s="180">
        <f t="shared" si="17"/>
        <v>5.3466495373179619</v>
      </c>
      <c r="H69" s="225">
        <f t="shared" si="18"/>
        <v>0.3564433024878641</v>
      </c>
      <c r="I69" s="456">
        <f t="shared" si="19"/>
        <v>32.96</v>
      </c>
      <c r="J69" s="180">
        <f t="shared" si="20"/>
        <v>1.2203904434838146</v>
      </c>
      <c r="K69" s="180">
        <f t="shared" si="21"/>
        <v>2.7563872241305809</v>
      </c>
      <c r="L69" s="180">
        <f t="shared" si="22"/>
        <v>3.2010241140559077</v>
      </c>
      <c r="M69" s="456">
        <f t="shared" si="14"/>
        <v>167.85814227567045</v>
      </c>
      <c r="N69" s="205">
        <f t="shared" si="23"/>
        <v>350</v>
      </c>
      <c r="O69" s="225">
        <f t="shared" si="24"/>
        <v>0.58529277912621358</v>
      </c>
      <c r="P69" s="181">
        <f t="shared" si="25"/>
        <v>1.5351941747572817</v>
      </c>
      <c r="Q69" s="181">
        <f t="shared" si="26"/>
        <v>0.15724416138236111</v>
      </c>
      <c r="R69" s="181">
        <f t="shared" si="27"/>
        <v>0.76065573770491812</v>
      </c>
    </row>
    <row r="70" spans="3:18" x14ac:dyDescent="0.2">
      <c r="C70" s="178">
        <v>64</v>
      </c>
      <c r="D70" s="6">
        <f t="shared" si="28"/>
        <v>17.880000000000003</v>
      </c>
      <c r="E70" s="456">
        <f t="shared" ref="E70:E106" si="29">(Vout+Vfwd1)*Nps</f>
        <v>15.25</v>
      </c>
      <c r="F70" s="225">
        <f t="shared" ref="F70:F106" si="30">(Vout+Vfwd1)*Nps/((Vout+Vfwd1)*Nps+D70)</f>
        <v>0.46030787805614243</v>
      </c>
      <c r="G70" s="180">
        <f t="shared" ref="G70:G101" si="31">F70*D70*Isw_max*0.5*Efficiency</f>
        <v>5.3702739209175983</v>
      </c>
      <c r="H70" s="225">
        <f t="shared" ref="H70:H101" si="32">G70/Vout</f>
        <v>0.35801826139450654</v>
      </c>
      <c r="I70" s="456">
        <f t="shared" ref="I70:I106" si="33">(Vout+Vfwd1)*Nps+D70</f>
        <v>33.130000000000003</v>
      </c>
      <c r="J70" s="180">
        <f t="shared" ref="J70:J106" si="34">MIN(2*Vout*Iout/(Efficiency*D70*F70), 1.35)</f>
        <v>1.2150218212491291</v>
      </c>
      <c r="K70" s="180">
        <f t="shared" ref="K70:K101" si="35">L*J70/D70*1000000</f>
        <v>2.7181696224812728</v>
      </c>
      <c r="L70" s="180">
        <f t="shared" ref="L70:L106" si="36">L*J70/((Vout+Vfwd1)*Nps)*1000000</f>
        <v>3.186942481964929</v>
      </c>
      <c r="M70" s="456">
        <f t="shared" si="14"/>
        <v>169.344795206692</v>
      </c>
      <c r="N70" s="205">
        <f t="shared" ref="N70:N106" si="37">IF(1/((350000*L)*(1/D70+1/E70))&gt;Isw_min, 350, 0.001/((Isw_min*L)*(1/D70+1/E70)))</f>
        <v>350</v>
      </c>
      <c r="O70" s="225">
        <f t="shared" ref="O70:O101" si="38">1/((N70*1000*L)*(1/D70+1/E70))</f>
        <v>0.58787891854598762</v>
      </c>
      <c r="P70" s="181">
        <f t="shared" ref="P70:P101" si="39">L*O70/E70*1000000</f>
        <v>1.5419774912681643</v>
      </c>
      <c r="Q70" s="181">
        <f t="shared" ref="Q70:Q101" si="40">0.5*P70*O70*Nps*N70/1000</f>
        <v>0.15863681049807213</v>
      </c>
      <c r="R70" s="181">
        <f t="shared" ref="R70:R106" si="41">L*Isw_min/E70*1000000</f>
        <v>0.76065573770491812</v>
      </c>
    </row>
    <row r="71" spans="3:18" x14ac:dyDescent="0.2">
      <c r="C71" s="178">
        <v>65</v>
      </c>
      <c r="D71" s="6">
        <f t="shared" ref="D71:D102" si="42">C71/100*(VIN_max-VIN_min)+VIN_min</f>
        <v>18.05</v>
      </c>
      <c r="E71" s="456">
        <f t="shared" si="29"/>
        <v>15.25</v>
      </c>
      <c r="F71" s="225">
        <f t="shared" si="30"/>
        <v>0.45795795795795802</v>
      </c>
      <c r="G71" s="180">
        <f t="shared" si="31"/>
        <v>5.3936570945945954</v>
      </c>
      <c r="H71" s="225">
        <f t="shared" si="32"/>
        <v>0.35957713963963972</v>
      </c>
      <c r="I71" s="456">
        <f t="shared" si="33"/>
        <v>33.299999999999997</v>
      </c>
      <c r="J71" s="180">
        <f t="shared" si="34"/>
        <v>1.2097543254166474</v>
      </c>
      <c r="K71" s="180">
        <f t="shared" si="35"/>
        <v>2.6808960120036507</v>
      </c>
      <c r="L71" s="180">
        <f t="shared" si="36"/>
        <v>3.1731260994535013</v>
      </c>
      <c r="M71" s="456">
        <f t="shared" ref="M71:M106" si="43">MIN(1/(K71+L71)*1000, 350)</f>
        <v>170.82272341316548</v>
      </c>
      <c r="N71" s="205">
        <f t="shared" si="37"/>
        <v>350</v>
      </c>
      <c r="O71" s="225">
        <f t="shared" si="38"/>
        <v>0.59043865293865283</v>
      </c>
      <c r="P71" s="181">
        <f t="shared" si="39"/>
        <v>1.5486915486915485</v>
      </c>
      <c r="Q71" s="181">
        <f t="shared" si="40"/>
        <v>0.16002128656970993</v>
      </c>
      <c r="R71" s="181">
        <f t="shared" si="41"/>
        <v>0.76065573770491812</v>
      </c>
    </row>
    <row r="72" spans="3:18" x14ac:dyDescent="0.2">
      <c r="C72" s="178">
        <v>66</v>
      </c>
      <c r="D72" s="6">
        <f t="shared" si="42"/>
        <v>18.22</v>
      </c>
      <c r="E72" s="456">
        <f t="shared" si="29"/>
        <v>15.25</v>
      </c>
      <c r="F72" s="225">
        <f t="shared" si="30"/>
        <v>0.45563190917239321</v>
      </c>
      <c r="G72" s="180">
        <f t="shared" si="31"/>
        <v>5.4168027337914548</v>
      </c>
      <c r="H72" s="225">
        <f t="shared" si="32"/>
        <v>0.36112018225276366</v>
      </c>
      <c r="I72" s="456">
        <f t="shared" si="33"/>
        <v>33.47</v>
      </c>
      <c r="J72" s="180">
        <f t="shared" si="34"/>
        <v>1.2045851253351567</v>
      </c>
      <c r="K72" s="180">
        <f t="shared" si="35"/>
        <v>2.6445337548521555</v>
      </c>
      <c r="L72" s="180">
        <f t="shared" si="36"/>
        <v>3.1595675418627067</v>
      </c>
      <c r="M72" s="456">
        <f t="shared" si="43"/>
        <v>172.29196199005054</v>
      </c>
      <c r="N72" s="205">
        <f t="shared" si="37"/>
        <v>350</v>
      </c>
      <c r="O72" s="225">
        <f t="shared" si="38"/>
        <v>0.59297238465150015</v>
      </c>
      <c r="P72" s="181">
        <f t="shared" si="39"/>
        <v>1.5553374023645907</v>
      </c>
      <c r="Q72" s="181">
        <f t="shared" si="40"/>
        <v>0.1613976224731152</v>
      </c>
      <c r="R72" s="181">
        <f t="shared" si="41"/>
        <v>0.76065573770491812</v>
      </c>
    </row>
    <row r="73" spans="3:18" x14ac:dyDescent="0.2">
      <c r="C73" s="178">
        <v>67</v>
      </c>
      <c r="D73" s="6">
        <f t="shared" si="42"/>
        <v>18.39</v>
      </c>
      <c r="E73" s="456">
        <f t="shared" si="29"/>
        <v>15.25</v>
      </c>
      <c r="F73" s="225">
        <f t="shared" si="30"/>
        <v>0.4533293697978597</v>
      </c>
      <c r="G73" s="180">
        <f t="shared" si="31"/>
        <v>5.4397144396551722</v>
      </c>
      <c r="H73" s="225">
        <f t="shared" si="32"/>
        <v>0.36264762931034483</v>
      </c>
      <c r="I73" s="456">
        <f t="shared" si="33"/>
        <v>33.64</v>
      </c>
      <c r="J73" s="180">
        <f t="shared" si="34"/>
        <v>1.1995114950213497</v>
      </c>
      <c r="K73" s="180">
        <f t="shared" si="35"/>
        <v>2.6090516476810217</v>
      </c>
      <c r="L73" s="180">
        <f t="shared" si="36"/>
        <v>3.1462596590723932</v>
      </c>
      <c r="M73" s="456">
        <f t="shared" si="43"/>
        <v>173.75254729080893</v>
      </c>
      <c r="N73" s="205">
        <f t="shared" si="37"/>
        <v>350</v>
      </c>
      <c r="O73" s="225">
        <f t="shared" si="38"/>
        <v>0.59548050789875995</v>
      </c>
      <c r="P73" s="181">
        <f t="shared" si="39"/>
        <v>1.5619160862918295</v>
      </c>
      <c r="Q73" s="181">
        <f t="shared" si="40"/>
        <v>0.16276585226305287</v>
      </c>
      <c r="R73" s="181">
        <f t="shared" si="41"/>
        <v>0.76065573770491812</v>
      </c>
    </row>
    <row r="74" spans="3:18" x14ac:dyDescent="0.2">
      <c r="C74" s="178">
        <v>68</v>
      </c>
      <c r="D74" s="6">
        <f t="shared" si="42"/>
        <v>18.560000000000002</v>
      </c>
      <c r="E74" s="456">
        <f t="shared" si="29"/>
        <v>15.25</v>
      </c>
      <c r="F74" s="225">
        <f t="shared" si="30"/>
        <v>0.45104998521147588</v>
      </c>
      <c r="G74" s="180">
        <f t="shared" si="31"/>
        <v>5.4623957409050581</v>
      </c>
      <c r="H74" s="225">
        <f t="shared" si="32"/>
        <v>0.3641597160603372</v>
      </c>
      <c r="I74" s="456">
        <f t="shared" si="33"/>
        <v>33.81</v>
      </c>
      <c r="J74" s="180">
        <f t="shared" si="34"/>
        <v>1.1945308083663084</v>
      </c>
      <c r="K74" s="180">
        <f t="shared" si="35"/>
        <v>2.5744198456170437</v>
      </c>
      <c r="L74" s="180">
        <f t="shared" si="36"/>
        <v>3.1331955629280221</v>
      </c>
      <c r="M74" s="456">
        <f t="shared" si="43"/>
        <v>175.20451684653906</v>
      </c>
      <c r="N74" s="205">
        <f t="shared" si="37"/>
        <v>350</v>
      </c>
      <c r="O74" s="225">
        <f t="shared" si="38"/>
        <v>0.59796340896607081</v>
      </c>
      <c r="P74" s="181">
        <f t="shared" si="39"/>
        <v>1.5684286136814973</v>
      </c>
      <c r="Q74" s="181">
        <f t="shared" si="40"/>
        <v>0.16412601109746042</v>
      </c>
      <c r="R74" s="181">
        <f t="shared" si="41"/>
        <v>0.76065573770491812</v>
      </c>
    </row>
    <row r="75" spans="3:18" x14ac:dyDescent="0.2">
      <c r="C75" s="178">
        <v>69</v>
      </c>
      <c r="D75" s="6">
        <f t="shared" si="42"/>
        <v>18.729999999999997</v>
      </c>
      <c r="E75" s="456">
        <f t="shared" si="29"/>
        <v>15.25</v>
      </c>
      <c r="F75" s="225">
        <f t="shared" si="30"/>
        <v>0.4487934078869924</v>
      </c>
      <c r="G75" s="180">
        <f t="shared" si="31"/>
        <v>5.4848500956444965</v>
      </c>
      <c r="H75" s="225">
        <f t="shared" si="32"/>
        <v>0.36565667304296645</v>
      </c>
      <c r="I75" s="456">
        <f t="shared" si="33"/>
        <v>33.979999999999997</v>
      </c>
      <c r="J75" s="180">
        <f t="shared" si="34"/>
        <v>1.1896405346030299</v>
      </c>
      <c r="K75" s="180">
        <f t="shared" si="35"/>
        <v>2.5406097909301231</v>
      </c>
      <c r="L75" s="180">
        <f t="shared" si="36"/>
        <v>3.1203686153522097</v>
      </c>
      <c r="M75" s="456">
        <f t="shared" si="43"/>
        <v>176.64790928900896</v>
      </c>
      <c r="N75" s="205">
        <f t="shared" si="37"/>
        <v>350</v>
      </c>
      <c r="O75" s="225">
        <f t="shared" si="38"/>
        <v>0.60042146640881178</v>
      </c>
      <c r="P75" s="181">
        <f t="shared" si="39"/>
        <v>1.5748759774657359</v>
      </c>
      <c r="Q75" s="181">
        <f t="shared" si="40"/>
        <v>0.1654781351653479</v>
      </c>
      <c r="R75" s="181">
        <f t="shared" si="41"/>
        <v>0.76065573770491812</v>
      </c>
    </row>
    <row r="76" spans="3:18" x14ac:dyDescent="0.2">
      <c r="C76" s="178">
        <v>70</v>
      </c>
      <c r="D76" s="6">
        <f t="shared" si="42"/>
        <v>18.899999999999999</v>
      </c>
      <c r="E76" s="456">
        <f t="shared" si="29"/>
        <v>15.25</v>
      </c>
      <c r="F76" s="225">
        <f t="shared" si="30"/>
        <v>0.44655929721815524</v>
      </c>
      <c r="G76" s="180">
        <f t="shared" si="31"/>
        <v>5.5070808931185944</v>
      </c>
      <c r="H76" s="225">
        <f t="shared" si="32"/>
        <v>0.36713872620790627</v>
      </c>
      <c r="I76" s="456">
        <f t="shared" si="33"/>
        <v>34.15</v>
      </c>
      <c r="J76" s="180">
        <f t="shared" si="34"/>
        <v>1.1848382340185619</v>
      </c>
      <c r="K76" s="180">
        <f t="shared" si="35"/>
        <v>2.5075941460710309</v>
      </c>
      <c r="L76" s="180">
        <f t="shared" si="36"/>
        <v>3.107772417097868</v>
      </c>
      <c r="M76" s="456">
        <f t="shared" si="43"/>
        <v>178.08276427739986</v>
      </c>
      <c r="N76" s="205">
        <f t="shared" si="37"/>
        <v>350</v>
      </c>
      <c r="O76" s="225">
        <f t="shared" si="38"/>
        <v>0.60285505124450944</v>
      </c>
      <c r="P76" s="181">
        <f t="shared" si="39"/>
        <v>1.5812591508052709</v>
      </c>
      <c r="Q76" s="181">
        <f t="shared" si="40"/>
        <v>0.16682226161817321</v>
      </c>
      <c r="R76" s="181">
        <f t="shared" si="41"/>
        <v>0.76065573770491812</v>
      </c>
    </row>
    <row r="77" spans="3:18" x14ac:dyDescent="0.2">
      <c r="C77" s="178">
        <v>71</v>
      </c>
      <c r="D77" s="6">
        <f t="shared" si="42"/>
        <v>19.07</v>
      </c>
      <c r="E77" s="456">
        <f t="shared" si="29"/>
        <v>15.25</v>
      </c>
      <c r="F77" s="225">
        <f t="shared" si="30"/>
        <v>0.44434731934731936</v>
      </c>
      <c r="G77" s="180">
        <f t="shared" si="31"/>
        <v>5.5290914554195805</v>
      </c>
      <c r="H77" s="225">
        <f t="shared" si="32"/>
        <v>0.36860609702797204</v>
      </c>
      <c r="I77" s="456">
        <f t="shared" si="33"/>
        <v>34.32</v>
      </c>
      <c r="J77" s="180">
        <f t="shared" si="34"/>
        <v>1.1801215538954843</v>
      </c>
      <c r="K77" s="180">
        <f t="shared" si="35"/>
        <v>2.4753467307718604</v>
      </c>
      <c r="L77" s="180">
        <f t="shared" si="36"/>
        <v>3.0954007971029101</v>
      </c>
      <c r="M77" s="456">
        <f t="shared" si="43"/>
        <v>179.50912242858331</v>
      </c>
      <c r="N77" s="205">
        <f t="shared" si="37"/>
        <v>350</v>
      </c>
      <c r="O77" s="225">
        <f t="shared" si="38"/>
        <v>0.60526452713952705</v>
      </c>
      <c r="P77" s="181">
        <f t="shared" si="39"/>
        <v>1.5875790875790876</v>
      </c>
      <c r="Q77" s="181">
        <f t="shared" si="40"/>
        <v>0.1681584285045277</v>
      </c>
      <c r="R77" s="181">
        <f t="shared" si="41"/>
        <v>0.76065573770491812</v>
      </c>
    </row>
    <row r="78" spans="3:18" x14ac:dyDescent="0.2">
      <c r="C78" s="178">
        <v>72</v>
      </c>
      <c r="D78" s="6">
        <f t="shared" si="42"/>
        <v>19.240000000000002</v>
      </c>
      <c r="E78" s="456">
        <f t="shared" si="29"/>
        <v>15.25</v>
      </c>
      <c r="F78" s="225">
        <f t="shared" si="30"/>
        <v>0.44215714699913017</v>
      </c>
      <c r="G78" s="180">
        <f t="shared" si="31"/>
        <v>5.5508850391417806</v>
      </c>
      <c r="H78" s="225">
        <f t="shared" si="32"/>
        <v>0.37005900260945201</v>
      </c>
      <c r="I78" s="456">
        <f t="shared" si="33"/>
        <v>34.49</v>
      </c>
      <c r="J78" s="180">
        <f t="shared" si="34"/>
        <v>1.1754882246685523</v>
      </c>
      <c r="K78" s="180">
        <f t="shared" si="35"/>
        <v>2.4438424629283833</v>
      </c>
      <c r="L78" s="180">
        <f t="shared" si="36"/>
        <v>3.0832478024093177</v>
      </c>
      <c r="M78" s="456">
        <f t="shared" si="43"/>
        <v>180.92702525076288</v>
      </c>
      <c r="N78" s="205">
        <f t="shared" si="37"/>
        <v>350</v>
      </c>
      <c r="O78" s="225">
        <f t="shared" si="38"/>
        <v>0.60765025059023314</v>
      </c>
      <c r="P78" s="181">
        <f t="shared" si="39"/>
        <v>1.593836722859628</v>
      </c>
      <c r="Q78" s="181">
        <f t="shared" si="40"/>
        <v>0.16948667470797457</v>
      </c>
      <c r="R78" s="181">
        <f t="shared" si="41"/>
        <v>0.76065573770491812</v>
      </c>
    </row>
    <row r="79" spans="3:18" x14ac:dyDescent="0.2">
      <c r="C79" s="178">
        <v>73</v>
      </c>
      <c r="D79" s="6">
        <f t="shared" si="42"/>
        <v>19.41</v>
      </c>
      <c r="E79" s="456">
        <f t="shared" si="29"/>
        <v>15.25</v>
      </c>
      <c r="F79" s="225">
        <f t="shared" si="30"/>
        <v>0.43998845931909986</v>
      </c>
      <c r="G79" s="180">
        <f t="shared" si="31"/>
        <v>5.5724648369878826</v>
      </c>
      <c r="H79" s="225">
        <f t="shared" si="32"/>
        <v>0.37149765579919219</v>
      </c>
      <c r="I79" s="456">
        <f t="shared" si="33"/>
        <v>34.659999999999997</v>
      </c>
      <c r="J79" s="180">
        <f t="shared" si="34"/>
        <v>1.1709360562833082</v>
      </c>
      <c r="K79" s="180">
        <f t="shared" si="35"/>
        <v>2.4130573030052718</v>
      </c>
      <c r="L79" s="180">
        <f t="shared" si="36"/>
        <v>3.0713076886119559</v>
      </c>
      <c r="M79" s="456">
        <f t="shared" si="43"/>
        <v>182.33651508032113</v>
      </c>
      <c r="N79" s="205">
        <f t="shared" si="37"/>
        <v>350</v>
      </c>
      <c r="O79" s="225">
        <f t="shared" si="38"/>
        <v>0.61001257109883755</v>
      </c>
      <c r="P79" s="181">
        <f t="shared" si="39"/>
        <v>1.6000329733740004</v>
      </c>
      <c r="Q79" s="181">
        <f t="shared" si="40"/>
        <v>0.17080703988788859</v>
      </c>
      <c r="R79" s="181">
        <f t="shared" si="41"/>
        <v>0.76065573770491812</v>
      </c>
    </row>
    <row r="80" spans="3:18" x14ac:dyDescent="0.2">
      <c r="C80" s="178">
        <v>74</v>
      </c>
      <c r="D80" s="6">
        <f t="shared" si="42"/>
        <v>19.579999999999998</v>
      </c>
      <c r="E80" s="456">
        <f t="shared" si="29"/>
        <v>15.25</v>
      </c>
      <c r="F80" s="225">
        <f t="shared" si="30"/>
        <v>0.43784094171691074</v>
      </c>
      <c r="G80" s="180">
        <f t="shared" si="31"/>
        <v>5.5938339793281653</v>
      </c>
      <c r="H80" s="225">
        <f t="shared" si="32"/>
        <v>0.37292226528854433</v>
      </c>
      <c r="I80" s="456">
        <f t="shared" si="33"/>
        <v>34.83</v>
      </c>
      <c r="J80" s="180">
        <f t="shared" si="34"/>
        <v>1.1664629347443862</v>
      </c>
      <c r="K80" s="180">
        <f t="shared" si="35"/>
        <v>2.3829682017249976</v>
      </c>
      <c r="L80" s="180">
        <f t="shared" si="36"/>
        <v>3.0595749108049479</v>
      </c>
      <c r="M80" s="456">
        <f t="shared" si="43"/>
        <v>183.73763502171946</v>
      </c>
      <c r="N80" s="205">
        <f t="shared" si="37"/>
        <v>350</v>
      </c>
      <c r="O80" s="225">
        <f t="shared" si="38"/>
        <v>0.61235183134407933</v>
      </c>
      <c r="P80" s="181">
        <f t="shared" si="39"/>
        <v>1.6061687379516836</v>
      </c>
      <c r="Q80" s="181">
        <f t="shared" si="40"/>
        <v>0.1721195644231564</v>
      </c>
      <c r="R80" s="181">
        <f t="shared" si="41"/>
        <v>0.76065573770491812</v>
      </c>
    </row>
    <row r="81" spans="3:18" x14ac:dyDescent="0.2">
      <c r="C81" s="178">
        <v>75</v>
      </c>
      <c r="D81" s="6">
        <f t="shared" si="42"/>
        <v>19.75</v>
      </c>
      <c r="E81" s="456">
        <f t="shared" si="29"/>
        <v>15.25</v>
      </c>
      <c r="F81" s="225">
        <f t="shared" si="30"/>
        <v>0.43571428571428572</v>
      </c>
      <c r="G81" s="180">
        <f t="shared" si="31"/>
        <v>5.6149955357142858</v>
      </c>
      <c r="H81" s="225">
        <f t="shared" si="32"/>
        <v>0.37433303571428572</v>
      </c>
      <c r="I81" s="456">
        <f t="shared" si="33"/>
        <v>35</v>
      </c>
      <c r="J81" s="180">
        <f t="shared" si="34"/>
        <v>1.1620668188420833</v>
      </c>
      <c r="K81" s="180">
        <f t="shared" si="35"/>
        <v>2.3535530508194094</v>
      </c>
      <c r="L81" s="180">
        <f t="shared" si="36"/>
        <v>3.0480441149956286</v>
      </c>
      <c r="M81" s="456">
        <f t="shared" si="43"/>
        <v>185.13042889030612</v>
      </c>
      <c r="N81" s="205">
        <f t="shared" si="37"/>
        <v>350</v>
      </c>
      <c r="O81" s="225">
        <f t="shared" si="38"/>
        <v>0.61466836734693864</v>
      </c>
      <c r="P81" s="181">
        <f t="shared" si="39"/>
        <v>1.6122448979591835</v>
      </c>
      <c r="Q81" s="181">
        <f t="shared" si="40"/>
        <v>0.17342428935860052</v>
      </c>
      <c r="R81" s="181">
        <f t="shared" si="41"/>
        <v>0.76065573770491812</v>
      </c>
    </row>
    <row r="82" spans="3:18" x14ac:dyDescent="0.2">
      <c r="C82" s="178">
        <v>76</v>
      </c>
      <c r="D82" s="6">
        <f t="shared" si="42"/>
        <v>19.920000000000002</v>
      </c>
      <c r="E82" s="456">
        <f t="shared" si="29"/>
        <v>15.25</v>
      </c>
      <c r="F82" s="225">
        <f t="shared" si="30"/>
        <v>0.43360818879727037</v>
      </c>
      <c r="G82" s="180">
        <f t="shared" si="31"/>
        <v>5.6359525163491622</v>
      </c>
      <c r="H82" s="225">
        <f t="shared" si="32"/>
        <v>0.37573016775661083</v>
      </c>
      <c r="I82" s="456">
        <f t="shared" si="33"/>
        <v>35.17</v>
      </c>
      <c r="J82" s="180">
        <f t="shared" si="34"/>
        <v>1.1577457370465469</v>
      </c>
      <c r="K82" s="180">
        <f t="shared" si="35"/>
        <v>2.3247906366396522</v>
      </c>
      <c r="L82" s="180">
        <f t="shared" si="36"/>
        <v>3.036710129958156</v>
      </c>
      <c r="M82" s="456">
        <f t="shared" si="43"/>
        <v>186.51494115789512</v>
      </c>
      <c r="N82" s="205">
        <f t="shared" si="37"/>
        <v>350</v>
      </c>
      <c r="O82" s="225">
        <f t="shared" si="38"/>
        <v>0.61696250863154467</v>
      </c>
      <c r="P82" s="181">
        <f t="shared" si="39"/>
        <v>1.6182623177220843</v>
      </c>
      <c r="Q82" s="181">
        <f t="shared" si="40"/>
        <v>0.1747212563540001</v>
      </c>
      <c r="R82" s="181">
        <f t="shared" si="41"/>
        <v>0.76065573770491812</v>
      </c>
    </row>
    <row r="83" spans="3:18" x14ac:dyDescent="0.2">
      <c r="C83" s="178">
        <v>77</v>
      </c>
      <c r="D83" s="6">
        <f t="shared" si="42"/>
        <v>20.09</v>
      </c>
      <c r="E83" s="456">
        <f t="shared" si="29"/>
        <v>15.25</v>
      </c>
      <c r="F83" s="225">
        <f t="shared" si="30"/>
        <v>0.43152235427277869</v>
      </c>
      <c r="G83" s="180">
        <f t="shared" si="31"/>
        <v>5.6567078735144296</v>
      </c>
      <c r="H83" s="225">
        <f t="shared" si="32"/>
        <v>0.37711385823429533</v>
      </c>
      <c r="I83" s="456">
        <f t="shared" si="33"/>
        <v>35.340000000000003</v>
      </c>
      <c r="J83" s="180">
        <f t="shared" si="34"/>
        <v>1.1534977845596457</v>
      </c>
      <c r="K83" s="180">
        <f t="shared" si="35"/>
        <v>2.2966605964353328</v>
      </c>
      <c r="L83" s="180">
        <f t="shared" si="36"/>
        <v>3.0255679595007101</v>
      </c>
      <c r="M83" s="456">
        <f t="shared" si="43"/>
        <v>187.89121690098591</v>
      </c>
      <c r="N83" s="205">
        <f t="shared" si="37"/>
        <v>350</v>
      </c>
      <c r="O83" s="225">
        <f t="shared" si="38"/>
        <v>0.61923457838143736</v>
      </c>
      <c r="P83" s="181">
        <f t="shared" si="39"/>
        <v>1.6242218449349177</v>
      </c>
      <c r="Q83" s="181">
        <f t="shared" si="40"/>
        <v>0.17601050763558396</v>
      </c>
      <c r="R83" s="181">
        <f t="shared" si="41"/>
        <v>0.76065573770491812</v>
      </c>
    </row>
    <row r="84" spans="3:18" x14ac:dyDescent="0.2">
      <c r="C84" s="178">
        <v>78</v>
      </c>
      <c r="D84" s="6">
        <f t="shared" si="42"/>
        <v>20.259999999999998</v>
      </c>
      <c r="E84" s="456">
        <f t="shared" si="29"/>
        <v>15.25</v>
      </c>
      <c r="F84" s="225">
        <f t="shared" si="30"/>
        <v>0.42945649112925938</v>
      </c>
      <c r="G84" s="180">
        <f t="shared" si="31"/>
        <v>5.6772645029569135</v>
      </c>
      <c r="H84" s="225">
        <f t="shared" si="32"/>
        <v>0.37848430019712759</v>
      </c>
      <c r="I84" s="456">
        <f t="shared" si="33"/>
        <v>35.51</v>
      </c>
      <c r="J84" s="180">
        <f t="shared" si="34"/>
        <v>1.1493211205152687</v>
      </c>
      <c r="K84" s="180">
        <f t="shared" si="35"/>
        <v>2.2691433771278753</v>
      </c>
      <c r="L84" s="180">
        <f t="shared" si="36"/>
        <v>3.0146127751220164</v>
      </c>
      <c r="M84" s="456">
        <f t="shared" si="43"/>
        <v>189.25930175149873</v>
      </c>
      <c r="N84" s="205">
        <f t="shared" si="37"/>
        <v>350</v>
      </c>
      <c r="O84" s="225">
        <f t="shared" si="38"/>
        <v>0.62148489359134229</v>
      </c>
      <c r="P84" s="181">
        <f t="shared" si="39"/>
        <v>1.6301243110592587</v>
      </c>
      <c r="Q84" s="181">
        <f t="shared" si="40"/>
        <v>0.17729208594988163</v>
      </c>
      <c r="R84" s="181">
        <f t="shared" si="41"/>
        <v>0.76065573770491812</v>
      </c>
    </row>
    <row r="85" spans="3:18" x14ac:dyDescent="0.2">
      <c r="C85" s="178">
        <v>79</v>
      </c>
      <c r="D85" s="6">
        <f t="shared" si="42"/>
        <v>20.43</v>
      </c>
      <c r="E85" s="456">
        <f t="shared" si="29"/>
        <v>15.25</v>
      </c>
      <c r="F85" s="225">
        <f t="shared" si="30"/>
        <v>0.42741031390134532</v>
      </c>
      <c r="G85" s="180">
        <f t="shared" si="31"/>
        <v>5.6976252452354252</v>
      </c>
      <c r="H85" s="225">
        <f t="shared" si="32"/>
        <v>0.37984168301569504</v>
      </c>
      <c r="I85" s="456">
        <f t="shared" si="33"/>
        <v>35.68</v>
      </c>
      <c r="J85" s="180">
        <f t="shared" si="34"/>
        <v>1.1452139653194033</v>
      </c>
      <c r="K85" s="180">
        <f t="shared" si="35"/>
        <v>2.2422201964158659</v>
      </c>
      <c r="L85" s="180">
        <f t="shared" si="36"/>
        <v>3.0038399090345012</v>
      </c>
      <c r="M85" s="456">
        <f t="shared" si="43"/>
        <v>190.61924184990852</v>
      </c>
      <c r="N85" s="205">
        <f t="shared" si="37"/>
        <v>350</v>
      </c>
      <c r="O85" s="225">
        <f t="shared" si="38"/>
        <v>0.62371376521460598</v>
      </c>
      <c r="P85" s="181">
        <f t="shared" si="39"/>
        <v>1.635970531710442</v>
      </c>
      <c r="Q85" s="181">
        <f t="shared" si="40"/>
        <v>0.17856603451982062</v>
      </c>
      <c r="R85" s="181">
        <f t="shared" si="41"/>
        <v>0.76065573770491812</v>
      </c>
    </row>
    <row r="86" spans="3:18" x14ac:dyDescent="0.2">
      <c r="C86" s="178">
        <v>80</v>
      </c>
      <c r="D86" s="6">
        <f t="shared" si="42"/>
        <v>20.6</v>
      </c>
      <c r="E86" s="456">
        <f t="shared" si="29"/>
        <v>15.25</v>
      </c>
      <c r="F86" s="225">
        <f t="shared" si="30"/>
        <v>0.42538354253835425</v>
      </c>
      <c r="G86" s="180">
        <f t="shared" si="31"/>
        <v>5.7177928870292893</v>
      </c>
      <c r="H86" s="225">
        <f t="shared" si="32"/>
        <v>0.38118619246861929</v>
      </c>
      <c r="I86" s="456">
        <f t="shared" si="33"/>
        <v>35.85</v>
      </c>
      <c r="J86" s="180">
        <f t="shared" si="34"/>
        <v>1.1411745981219161</v>
      </c>
      <c r="K86" s="180">
        <f t="shared" si="35"/>
        <v>2.2158730060619729</v>
      </c>
      <c r="L86" s="180">
        <f t="shared" si="36"/>
        <v>2.9932448475328948</v>
      </c>
      <c r="M86" s="456">
        <f t="shared" si="43"/>
        <v>191.9710838006649</v>
      </c>
      <c r="N86" s="205">
        <f t="shared" si="37"/>
        <v>350</v>
      </c>
      <c r="O86" s="225">
        <f t="shared" si="38"/>
        <v>0.62592149830643551</v>
      </c>
      <c r="P86" s="181">
        <f t="shared" si="39"/>
        <v>1.6417613070332735</v>
      </c>
      <c r="Q86" s="181">
        <f t="shared" si="40"/>
        <v>0.17983239700296474</v>
      </c>
      <c r="R86" s="181">
        <f t="shared" si="41"/>
        <v>0.76065573770491812</v>
      </c>
    </row>
    <row r="87" spans="3:18" x14ac:dyDescent="0.2">
      <c r="C87" s="178">
        <v>81</v>
      </c>
      <c r="D87" s="6">
        <f t="shared" si="42"/>
        <v>20.770000000000003</v>
      </c>
      <c r="E87" s="456">
        <f t="shared" si="29"/>
        <v>15.25</v>
      </c>
      <c r="F87" s="225">
        <f t="shared" si="30"/>
        <v>0.42337590227651301</v>
      </c>
      <c r="G87" s="180">
        <f t="shared" si="31"/>
        <v>5.737770162409773</v>
      </c>
      <c r="H87" s="225">
        <f t="shared" si="32"/>
        <v>0.38251801082731818</v>
      </c>
      <c r="I87" s="456">
        <f t="shared" si="33"/>
        <v>36.020000000000003</v>
      </c>
      <c r="J87" s="180">
        <f t="shared" si="34"/>
        <v>1.1372013544124957</v>
      </c>
      <c r="K87" s="180">
        <f t="shared" si="35"/>
        <v>2.1900844572219462</v>
      </c>
      <c r="L87" s="180">
        <f t="shared" si="36"/>
        <v>2.9828232246885134</v>
      </c>
      <c r="M87" s="456">
        <f t="shared" si="43"/>
        <v>193.31487462979038</v>
      </c>
      <c r="N87" s="205">
        <f t="shared" si="37"/>
        <v>350</v>
      </c>
      <c r="O87" s="225">
        <f t="shared" si="38"/>
        <v>0.6281083921630839</v>
      </c>
      <c r="P87" s="181">
        <f t="shared" si="39"/>
        <v>1.6474974220671055</v>
      </c>
      <c r="Q87" s="181">
        <f t="shared" si="40"/>
        <v>0.18109121745179416</v>
      </c>
      <c r="R87" s="181">
        <f t="shared" si="41"/>
        <v>0.76065573770491812</v>
      </c>
    </row>
    <row r="88" spans="3:18" x14ac:dyDescent="0.2">
      <c r="C88" s="178">
        <v>82</v>
      </c>
      <c r="D88" s="6">
        <f t="shared" si="42"/>
        <v>20.939999999999998</v>
      </c>
      <c r="E88" s="456">
        <f t="shared" si="29"/>
        <v>15.25</v>
      </c>
      <c r="F88" s="225">
        <f t="shared" si="30"/>
        <v>0.42138712351478314</v>
      </c>
      <c r="G88" s="180">
        <f t="shared" si="31"/>
        <v>5.7575597540757117</v>
      </c>
      <c r="H88" s="225">
        <f t="shared" si="32"/>
        <v>0.3838373169383808</v>
      </c>
      <c r="I88" s="456">
        <f t="shared" si="33"/>
        <v>36.19</v>
      </c>
      <c r="J88" s="180">
        <f t="shared" si="34"/>
        <v>1.1332926237336964</v>
      </c>
      <c r="K88" s="180">
        <f t="shared" si="35"/>
        <v>2.1648378676861442</v>
      </c>
      <c r="L88" s="180">
        <f t="shared" si="36"/>
        <v>2.9725708163506792</v>
      </c>
      <c r="M88" s="456">
        <f t="shared" si="43"/>
        <v>194.65066174455671</v>
      </c>
      <c r="N88" s="205">
        <f t="shared" si="37"/>
        <v>350</v>
      </c>
      <c r="O88" s="225">
        <f t="shared" si="38"/>
        <v>0.63027474045711118</v>
      </c>
      <c r="P88" s="181">
        <f t="shared" si="39"/>
        <v>1.6531796471006195</v>
      </c>
      <c r="Q88" s="181">
        <f t="shared" si="40"/>
        <v>0.18234254027593128</v>
      </c>
      <c r="R88" s="181">
        <f t="shared" si="41"/>
        <v>0.76065573770491812</v>
      </c>
    </row>
    <row r="89" spans="3:18" x14ac:dyDescent="0.2">
      <c r="C89" s="178">
        <v>83</v>
      </c>
      <c r="D89" s="6">
        <f t="shared" si="42"/>
        <v>21.11</v>
      </c>
      <c r="E89" s="456">
        <f t="shared" si="29"/>
        <v>15.25</v>
      </c>
      <c r="F89" s="225">
        <f t="shared" si="30"/>
        <v>0.41941694169416943</v>
      </c>
      <c r="G89" s="180">
        <f t="shared" si="31"/>
        <v>5.7771642945544563</v>
      </c>
      <c r="H89" s="225">
        <f t="shared" si="32"/>
        <v>0.3851442863036304</v>
      </c>
      <c r="I89" s="456">
        <f t="shared" si="33"/>
        <v>36.36</v>
      </c>
      <c r="J89" s="180">
        <f t="shared" si="34"/>
        <v>1.1294468475044848</v>
      </c>
      <c r="K89" s="180">
        <f t="shared" si="35"/>
        <v>2.1401171909132821</v>
      </c>
      <c r="L89" s="180">
        <f t="shared" si="36"/>
        <v>2.9624835344379927</v>
      </c>
      <c r="M89" s="456">
        <f t="shared" si="43"/>
        <v>195.97849289514178</v>
      </c>
      <c r="N89" s="205">
        <f t="shared" si="37"/>
        <v>350</v>
      </c>
      <c r="O89" s="225">
        <f t="shared" si="38"/>
        <v>0.63242083136885108</v>
      </c>
      <c r="P89" s="181">
        <f t="shared" si="39"/>
        <v>1.6588087380166587</v>
      </c>
      <c r="Q89" s="181">
        <f t="shared" si="40"/>
        <v>0.18358641020622177</v>
      </c>
      <c r="R89" s="181">
        <f t="shared" si="41"/>
        <v>0.76065573770491812</v>
      </c>
    </row>
    <row r="90" spans="3:18" x14ac:dyDescent="0.2">
      <c r="C90" s="178">
        <v>84</v>
      </c>
      <c r="D90" s="6">
        <f t="shared" si="42"/>
        <v>21.28</v>
      </c>
      <c r="E90" s="456">
        <f t="shared" si="29"/>
        <v>15.25</v>
      </c>
      <c r="F90" s="225">
        <f t="shared" si="30"/>
        <v>0.41746509718039965</v>
      </c>
      <c r="G90" s="180">
        <f t="shared" si="31"/>
        <v>5.7965863673692848</v>
      </c>
      <c r="H90" s="225">
        <f t="shared" si="32"/>
        <v>0.38643909115795233</v>
      </c>
      <c r="I90" s="456">
        <f t="shared" si="33"/>
        <v>36.53</v>
      </c>
      <c r="J90" s="180">
        <f t="shared" si="34"/>
        <v>1.125662516948108</v>
      </c>
      <c r="K90" s="180">
        <f t="shared" si="35"/>
        <v>2.1159069867445641</v>
      </c>
      <c r="L90" s="180">
        <f t="shared" si="36"/>
        <v>2.9525574215032346</v>
      </c>
      <c r="M90" s="456">
        <f t="shared" si="43"/>
        <v>197.29841613817439</v>
      </c>
      <c r="N90" s="205">
        <f t="shared" si="37"/>
        <v>350</v>
      </c>
      <c r="O90" s="225">
        <f t="shared" si="38"/>
        <v>0.63454694771420739</v>
      </c>
      <c r="P90" s="181">
        <f t="shared" si="39"/>
        <v>1.6643854366274293</v>
      </c>
      <c r="Q90" s="181">
        <f t="shared" si="40"/>
        <v>0.18482287226058489</v>
      </c>
      <c r="R90" s="181">
        <f t="shared" si="41"/>
        <v>0.76065573770491812</v>
      </c>
    </row>
    <row r="91" spans="3:18" x14ac:dyDescent="0.2">
      <c r="C91" s="178">
        <v>85</v>
      </c>
      <c r="D91" s="6">
        <f t="shared" si="42"/>
        <v>21.45</v>
      </c>
      <c r="E91" s="456">
        <f t="shared" si="29"/>
        <v>15.25</v>
      </c>
      <c r="F91" s="225">
        <f t="shared" si="30"/>
        <v>0.41553133514986373</v>
      </c>
      <c r="G91" s="180">
        <f t="shared" si="31"/>
        <v>5.8158285081743868</v>
      </c>
      <c r="H91" s="225">
        <f t="shared" si="32"/>
        <v>0.38772190054495914</v>
      </c>
      <c r="I91" s="456">
        <f t="shared" si="33"/>
        <v>36.700000000000003</v>
      </c>
      <c r="J91" s="180">
        <f t="shared" si="34"/>
        <v>1.121938171118499</v>
      </c>
      <c r="K91" s="180">
        <f t="shared" si="35"/>
        <v>2.0921923936941709</v>
      </c>
      <c r="L91" s="180">
        <f t="shared" si="36"/>
        <v>2.9427886455567189</v>
      </c>
      <c r="M91" s="456">
        <f t="shared" si="43"/>
        <v>198.61047980208107</v>
      </c>
      <c r="N91" s="205">
        <f t="shared" si="37"/>
        <v>350</v>
      </c>
      <c r="O91" s="225">
        <f t="shared" si="38"/>
        <v>0.6366533670688983</v>
      </c>
      <c r="P91" s="181">
        <f t="shared" si="39"/>
        <v>1.6699104710003891</v>
      </c>
      <c r="Q91" s="181">
        <f t="shared" si="40"/>
        <v>0.18605197171155136</v>
      </c>
      <c r="R91" s="181">
        <f t="shared" si="41"/>
        <v>0.76065573770491812</v>
      </c>
    </row>
    <row r="92" spans="3:18" x14ac:dyDescent="0.2">
      <c r="C92" s="178">
        <v>86</v>
      </c>
      <c r="D92" s="6">
        <f t="shared" si="42"/>
        <v>21.619999999999997</v>
      </c>
      <c r="E92" s="456">
        <f t="shared" si="29"/>
        <v>15.25</v>
      </c>
      <c r="F92" s="225">
        <f t="shared" si="30"/>
        <v>0.41361540547870901</v>
      </c>
      <c r="G92" s="180">
        <f t="shared" si="31"/>
        <v>5.8348932058584202</v>
      </c>
      <c r="H92" s="225">
        <f t="shared" si="32"/>
        <v>0.38899288039056135</v>
      </c>
      <c r="I92" s="456">
        <f t="shared" si="33"/>
        <v>36.869999999999997</v>
      </c>
      <c r="J92" s="180">
        <f t="shared" si="34"/>
        <v>1.1182723950197904</v>
      </c>
      <c r="K92" s="180">
        <f t="shared" si="35"/>
        <v>2.0689591027193166</v>
      </c>
      <c r="L92" s="180">
        <f t="shared" si="36"/>
        <v>2.9331734951338766</v>
      </c>
      <c r="M92" s="456">
        <f t="shared" si="43"/>
        <v>199.91473245414932</v>
      </c>
      <c r="N92" s="205">
        <f t="shared" si="37"/>
        <v>350</v>
      </c>
      <c r="O92" s="225">
        <f t="shared" si="38"/>
        <v>0.63874036188926331</v>
      </c>
      <c r="P92" s="181">
        <f t="shared" si="39"/>
        <v>1.675384555775117</v>
      </c>
      <c r="Q92" s="181">
        <f t="shared" si="40"/>
        <v>0.18727375405540914</v>
      </c>
      <c r="R92" s="181">
        <f t="shared" si="41"/>
        <v>0.76065573770491812</v>
      </c>
    </row>
    <row r="93" spans="3:18" x14ac:dyDescent="0.2">
      <c r="C93" s="178">
        <v>87</v>
      </c>
      <c r="D93" s="6">
        <f t="shared" si="42"/>
        <v>21.79</v>
      </c>
      <c r="E93" s="456">
        <f t="shared" si="29"/>
        <v>15.25</v>
      </c>
      <c r="F93" s="225">
        <f t="shared" si="30"/>
        <v>0.41171706263498919</v>
      </c>
      <c r="G93" s="180">
        <f t="shared" si="31"/>
        <v>5.8537829036177103</v>
      </c>
      <c r="H93" s="225">
        <f t="shared" si="32"/>
        <v>0.39025219357451402</v>
      </c>
      <c r="I93" s="456">
        <f t="shared" si="33"/>
        <v>37.04</v>
      </c>
      <c r="J93" s="180">
        <f t="shared" si="34"/>
        <v>1.1146638178138566</v>
      </c>
      <c r="K93" s="180">
        <f t="shared" si="35"/>
        <v>2.0461933323797279</v>
      </c>
      <c r="L93" s="180">
        <f t="shared" si="36"/>
        <v>2.9237083745937222</v>
      </c>
      <c r="M93" s="456">
        <f t="shared" si="43"/>
        <v>201.21122286922969</v>
      </c>
      <c r="N93" s="205">
        <f t="shared" si="37"/>
        <v>350</v>
      </c>
      <c r="O93" s="225">
        <f t="shared" si="38"/>
        <v>0.64080819962974389</v>
      </c>
      <c r="P93" s="181">
        <f t="shared" si="39"/>
        <v>1.6808083924714594</v>
      </c>
      <c r="Q93" s="181">
        <f t="shared" si="40"/>
        <v>0.18848826498288498</v>
      </c>
      <c r="R93" s="181">
        <f t="shared" si="41"/>
        <v>0.76065573770491812</v>
      </c>
    </row>
    <row r="94" spans="3:18" x14ac:dyDescent="0.2">
      <c r="C94" s="178">
        <v>88</v>
      </c>
      <c r="D94" s="6">
        <f t="shared" si="42"/>
        <v>21.96</v>
      </c>
      <c r="E94" s="456">
        <f t="shared" si="29"/>
        <v>15.25</v>
      </c>
      <c r="F94" s="225">
        <f t="shared" si="30"/>
        <v>0.4098360655737705</v>
      </c>
      <c r="G94" s="180">
        <f t="shared" si="31"/>
        <v>5.8724999999999996</v>
      </c>
      <c r="H94" s="225">
        <f t="shared" si="32"/>
        <v>0.39149999999999996</v>
      </c>
      <c r="I94" s="456">
        <f t="shared" si="33"/>
        <v>37.21</v>
      </c>
      <c r="J94" s="180">
        <f t="shared" si="34"/>
        <v>1.1111111111111109</v>
      </c>
      <c r="K94" s="180">
        <f t="shared" si="35"/>
        <v>2.0238818053025702</v>
      </c>
      <c r="L94" s="180">
        <f t="shared" si="36"/>
        <v>2.9143897996357011</v>
      </c>
      <c r="M94" s="456">
        <f t="shared" si="43"/>
        <v>202.5</v>
      </c>
      <c r="N94" s="205">
        <f t="shared" si="37"/>
        <v>350</v>
      </c>
      <c r="O94" s="225">
        <f t="shared" si="38"/>
        <v>0.64285714285714279</v>
      </c>
      <c r="P94" s="181">
        <f t="shared" si="39"/>
        <v>1.6861826697892273</v>
      </c>
      <c r="Q94" s="181">
        <f t="shared" si="40"/>
        <v>0.18969555035128804</v>
      </c>
      <c r="R94" s="181">
        <f t="shared" si="41"/>
        <v>0.76065573770491812</v>
      </c>
    </row>
    <row r="95" spans="3:18" x14ac:dyDescent="0.2">
      <c r="C95" s="178">
        <v>89</v>
      </c>
      <c r="D95" s="6">
        <f t="shared" si="42"/>
        <v>22.130000000000003</v>
      </c>
      <c r="E95" s="456">
        <f t="shared" si="29"/>
        <v>15.25</v>
      </c>
      <c r="F95" s="225">
        <f t="shared" si="30"/>
        <v>0.40797217763509896</v>
      </c>
      <c r="G95" s="180">
        <f t="shared" si="31"/>
        <v>5.8910468499197437</v>
      </c>
      <c r="H95" s="225">
        <f t="shared" si="32"/>
        <v>0.39273645666131624</v>
      </c>
      <c r="I95" s="456">
        <f t="shared" si="33"/>
        <v>37.380000000000003</v>
      </c>
      <c r="J95" s="180">
        <f t="shared" si="34"/>
        <v>1.1076129873400842</v>
      </c>
      <c r="K95" s="180">
        <f t="shared" si="35"/>
        <v>2.0020117258745307</v>
      </c>
      <c r="L95" s="180">
        <f t="shared" si="36"/>
        <v>2.9052143930231717</v>
      </c>
      <c r="M95" s="456">
        <f t="shared" si="43"/>
        <v>203.78111294871971</v>
      </c>
      <c r="N95" s="205">
        <f t="shared" si="37"/>
        <v>350</v>
      </c>
      <c r="O95" s="225">
        <f t="shared" si="38"/>
        <v>0.64488744936176712</v>
      </c>
      <c r="P95" s="181">
        <f t="shared" si="39"/>
        <v>1.6915080638997171</v>
      </c>
      <c r="Q95" s="181">
        <f t="shared" si="40"/>
        <v>0.19089565615805121</v>
      </c>
      <c r="R95" s="181">
        <f t="shared" si="41"/>
        <v>0.76065573770491812</v>
      </c>
    </row>
    <row r="96" spans="3:18" x14ac:dyDescent="0.2">
      <c r="C96" s="178">
        <v>90</v>
      </c>
      <c r="D96" s="6">
        <f t="shared" si="42"/>
        <v>22.3</v>
      </c>
      <c r="E96" s="456">
        <f t="shared" si="29"/>
        <v>15.25</v>
      </c>
      <c r="F96" s="225">
        <f t="shared" si="30"/>
        <v>0.40612516644474039</v>
      </c>
      <c r="G96" s="180">
        <f t="shared" si="31"/>
        <v>5.9094257656458069</v>
      </c>
      <c r="H96" s="225">
        <f t="shared" si="32"/>
        <v>0.39396171770972044</v>
      </c>
      <c r="I96" s="456">
        <f t="shared" si="33"/>
        <v>37.549999999999997</v>
      </c>
      <c r="J96" s="180">
        <f t="shared" si="34"/>
        <v>1.1041681981915752</v>
      </c>
      <c r="K96" s="180">
        <f t="shared" si="35"/>
        <v>1.980570759088027</v>
      </c>
      <c r="L96" s="180">
        <f t="shared" si="36"/>
        <v>2.8961788805024926</v>
      </c>
      <c r="M96" s="456">
        <f t="shared" si="43"/>
        <v>205.05461094040618</v>
      </c>
      <c r="N96" s="205">
        <f t="shared" si="37"/>
        <v>350</v>
      </c>
      <c r="O96" s="225">
        <f t="shared" si="38"/>
        <v>0.6468993722655505</v>
      </c>
      <c r="P96" s="181">
        <f t="shared" si="39"/>
        <v>1.696785238729313</v>
      </c>
      <c r="Q96" s="181">
        <f t="shared" si="40"/>
        <v>0.19208862851560288</v>
      </c>
      <c r="R96" s="181">
        <f t="shared" si="41"/>
        <v>0.76065573770491812</v>
      </c>
    </row>
    <row r="97" spans="3:18" x14ac:dyDescent="0.2">
      <c r="C97" s="178">
        <v>91</v>
      </c>
      <c r="D97" s="6">
        <f t="shared" si="42"/>
        <v>22.47</v>
      </c>
      <c r="E97" s="456">
        <f t="shared" si="29"/>
        <v>15.25</v>
      </c>
      <c r="F97" s="225">
        <f t="shared" si="30"/>
        <v>0.40429480381760341</v>
      </c>
      <c r="G97" s="180">
        <f t="shared" si="31"/>
        <v>5.92763901776246</v>
      </c>
      <c r="H97" s="225">
        <f t="shared" si="32"/>
        <v>0.39517593451749733</v>
      </c>
      <c r="I97" s="456">
        <f t="shared" si="33"/>
        <v>37.72</v>
      </c>
      <c r="J97" s="180">
        <f t="shared" si="34"/>
        <v>1.1007755331334312</v>
      </c>
      <c r="K97" s="180">
        <f t="shared" si="35"/>
        <v>1.9595470104733979</v>
      </c>
      <c r="L97" s="180">
        <f t="shared" si="36"/>
        <v>2.8872800869073609</v>
      </c>
      <c r="M97" s="456">
        <f t="shared" si="43"/>
        <v>206.32054329736732</v>
      </c>
      <c r="N97" s="205">
        <f t="shared" si="37"/>
        <v>350</v>
      </c>
      <c r="O97" s="225">
        <f t="shared" si="38"/>
        <v>0.64889316012725329</v>
      </c>
      <c r="P97" s="181">
        <f t="shared" si="39"/>
        <v>1.7020148462354185</v>
      </c>
      <c r="Q97" s="181">
        <f t="shared" si="40"/>
        <v>0.1932745136275103</v>
      </c>
      <c r="R97" s="181">
        <f t="shared" si="41"/>
        <v>0.76065573770491812</v>
      </c>
    </row>
    <row r="98" spans="3:18" x14ac:dyDescent="0.2">
      <c r="C98" s="178">
        <v>92</v>
      </c>
      <c r="D98" s="6">
        <f t="shared" si="42"/>
        <v>22.64</v>
      </c>
      <c r="E98" s="456">
        <f t="shared" si="29"/>
        <v>15.25</v>
      </c>
      <c r="F98" s="225">
        <f t="shared" si="30"/>
        <v>0.40248086566376351</v>
      </c>
      <c r="G98" s="180">
        <f t="shared" si="31"/>
        <v>5.9456888361045133</v>
      </c>
      <c r="H98" s="225">
        <f t="shared" si="32"/>
        <v>0.39637925574030086</v>
      </c>
      <c r="I98" s="456">
        <f t="shared" si="33"/>
        <v>37.89</v>
      </c>
      <c r="J98" s="180">
        <f t="shared" si="34"/>
        <v>1.0974338179922378</v>
      </c>
      <c r="K98" s="180">
        <f t="shared" si="35"/>
        <v>1.9389290070534242</v>
      </c>
      <c r="L98" s="180">
        <f t="shared" si="36"/>
        <v>2.878514932438657</v>
      </c>
      <c r="M98" s="456">
        <f t="shared" si="43"/>
        <v>207.57895941502812</v>
      </c>
      <c r="N98" s="205">
        <f t="shared" si="37"/>
        <v>350</v>
      </c>
      <c r="O98" s="225">
        <f t="shared" si="38"/>
        <v>0.650869057044829</v>
      </c>
      <c r="P98" s="181">
        <f t="shared" si="39"/>
        <v>1.7071975266749615</v>
      </c>
      <c r="Q98" s="181">
        <f t="shared" si="40"/>
        <v>0.19445335776583439</v>
      </c>
      <c r="R98" s="181">
        <f t="shared" si="41"/>
        <v>0.76065573770491812</v>
      </c>
    </row>
    <row r="99" spans="3:18" x14ac:dyDescent="0.2">
      <c r="C99" s="178">
        <v>93</v>
      </c>
      <c r="D99" s="6">
        <f t="shared" si="42"/>
        <v>22.810000000000002</v>
      </c>
      <c r="E99" s="456">
        <f t="shared" si="29"/>
        <v>15.25</v>
      </c>
      <c r="F99" s="225">
        <f t="shared" si="30"/>
        <v>0.40068313189700472</v>
      </c>
      <c r="G99" s="180">
        <f t="shared" si="31"/>
        <v>5.9635774106673676</v>
      </c>
      <c r="H99" s="225">
        <f t="shared" si="32"/>
        <v>0.39757182737782448</v>
      </c>
      <c r="I99" s="456">
        <f t="shared" si="33"/>
        <v>38.06</v>
      </c>
      <c r="J99" s="180">
        <f t="shared" si="34"/>
        <v>1.0941419135984358</v>
      </c>
      <c r="K99" s="180">
        <f t="shared" si="35"/>
        <v>1.9187056792607378</v>
      </c>
      <c r="L99" s="180">
        <f t="shared" si="36"/>
        <v>2.8698804291106517</v>
      </c>
      <c r="M99" s="456">
        <f t="shared" si="43"/>
        <v>208.82990873899155</v>
      </c>
      <c r="N99" s="205">
        <f t="shared" si="37"/>
        <v>350</v>
      </c>
      <c r="O99" s="225">
        <f t="shared" si="38"/>
        <v>0.6528273027550483</v>
      </c>
      <c r="P99" s="181">
        <f t="shared" si="39"/>
        <v>1.7123339088657006</v>
      </c>
      <c r="Q99" s="181">
        <f t="shared" si="40"/>
        <v>0.19562520724964072</v>
      </c>
      <c r="R99" s="181">
        <f t="shared" si="41"/>
        <v>0.76065573770491812</v>
      </c>
    </row>
    <row r="100" spans="3:18" x14ac:dyDescent="0.2">
      <c r="C100" s="178">
        <v>94</v>
      </c>
      <c r="D100" s="6">
        <f t="shared" si="42"/>
        <v>22.979999999999997</v>
      </c>
      <c r="E100" s="456">
        <f t="shared" si="29"/>
        <v>15.25</v>
      </c>
      <c r="F100" s="225">
        <f t="shared" si="30"/>
        <v>0.39890138634580175</v>
      </c>
      <c r="G100" s="180">
        <f t="shared" si="31"/>
        <v>5.9813068924928059</v>
      </c>
      <c r="H100" s="225">
        <f t="shared" si="32"/>
        <v>0.39875379283285373</v>
      </c>
      <c r="I100" s="456">
        <f t="shared" si="33"/>
        <v>38.229999999999997</v>
      </c>
      <c r="J100" s="180">
        <f t="shared" si="34"/>
        <v>1.0908987144915749</v>
      </c>
      <c r="K100" s="180">
        <f t="shared" si="35"/>
        <v>1.898866343762533</v>
      </c>
      <c r="L100" s="180">
        <f t="shared" si="36"/>
        <v>2.8613736773549512</v>
      </c>
      <c r="M100" s="456">
        <f t="shared" si="43"/>
        <v>210.0734407432771</v>
      </c>
      <c r="N100" s="205">
        <f t="shared" si="37"/>
        <v>350</v>
      </c>
      <c r="O100" s="225">
        <f t="shared" si="38"/>
        <v>0.65476813273046586</v>
      </c>
      <c r="P100" s="181">
        <f t="shared" si="39"/>
        <v>1.7174246104405662</v>
      </c>
      <c r="Q100" s="181">
        <f t="shared" si="40"/>
        <v>0.1967901084246155</v>
      </c>
      <c r="R100" s="181">
        <f t="shared" si="41"/>
        <v>0.76065573770491812</v>
      </c>
    </row>
    <row r="101" spans="3:18" x14ac:dyDescent="0.2">
      <c r="C101" s="178">
        <v>95</v>
      </c>
      <c r="D101" s="6">
        <f t="shared" si="42"/>
        <v>23.15</v>
      </c>
      <c r="E101" s="456">
        <f t="shared" si="29"/>
        <v>15.25</v>
      </c>
      <c r="F101" s="225">
        <f t="shared" si="30"/>
        <v>0.39713541666666669</v>
      </c>
      <c r="G101" s="180">
        <f t="shared" si="31"/>
        <v>5.9988793945312509</v>
      </c>
      <c r="H101" s="225">
        <f t="shared" si="32"/>
        <v>0.39992529296875007</v>
      </c>
      <c r="I101" s="456">
        <f t="shared" si="33"/>
        <v>38.4</v>
      </c>
      <c r="J101" s="180">
        <f t="shared" si="34"/>
        <v>1.0877031476826113</v>
      </c>
      <c r="K101" s="180">
        <f t="shared" si="35"/>
        <v>1.8794006871405815</v>
      </c>
      <c r="L101" s="180">
        <f t="shared" si="36"/>
        <v>2.8529918627740627</v>
      </c>
      <c r="M101" s="456">
        <f t="shared" si="43"/>
        <v>211.30960490968496</v>
      </c>
      <c r="N101" s="205">
        <f t="shared" si="37"/>
        <v>350</v>
      </c>
      <c r="O101" s="225">
        <f t="shared" si="38"/>
        <v>0.65669177827380942</v>
      </c>
      <c r="P101" s="181">
        <f t="shared" si="39"/>
        <v>1.7224702380952379</v>
      </c>
      <c r="Q101" s="181">
        <f t="shared" si="40"/>
        <v>0.19794810764373288</v>
      </c>
      <c r="R101" s="181">
        <f t="shared" si="41"/>
        <v>0.76065573770491812</v>
      </c>
    </row>
    <row r="102" spans="3:18" x14ac:dyDescent="0.2">
      <c r="C102" s="178">
        <v>96</v>
      </c>
      <c r="D102" s="6">
        <f t="shared" si="42"/>
        <v>23.32</v>
      </c>
      <c r="E102" s="456">
        <f t="shared" si="29"/>
        <v>15.25</v>
      </c>
      <c r="F102" s="225">
        <f t="shared" si="30"/>
        <v>0.39538501425978739</v>
      </c>
      <c r="G102" s="180">
        <f t="shared" ref="G102:G106" si="44">F102*D102*Isw_max*0.5*Efficiency</f>
        <v>6.0162969924812018</v>
      </c>
      <c r="H102" s="225">
        <f t="shared" ref="H102:H106" si="45">G102/Vout</f>
        <v>0.40108646616541344</v>
      </c>
      <c r="I102" s="456">
        <f t="shared" si="33"/>
        <v>38.57</v>
      </c>
      <c r="J102" s="180">
        <f t="shared" si="34"/>
        <v>1.0845541714703486</v>
      </c>
      <c r="K102" s="180">
        <f t="shared" ref="K102:K106" si="46">L*J102/D102*1000000</f>
        <v>1.8602987503779567</v>
      </c>
      <c r="L102" s="180">
        <f t="shared" si="36"/>
        <v>2.8447322530369803</v>
      </c>
      <c r="M102" s="456">
        <f t="shared" si="43"/>
        <v>212.5384507082301</v>
      </c>
      <c r="N102" s="205">
        <f t="shared" si="37"/>
        <v>350</v>
      </c>
      <c r="O102" s="225">
        <f t="shared" ref="O102:O106" si="47">1/((N102*1000*L)*(1/D102+1/E102))</f>
        <v>0.65859846660987442</v>
      </c>
      <c r="P102" s="181">
        <f t="shared" ref="P102:P106" si="48">L*O102/E102*1000000</f>
        <v>1.727471387829179</v>
      </c>
      <c r="Q102" s="181">
        <f t="shared" ref="Q102:Q106" si="49">0.5*P102*O102*Nps*N102/1000</f>
        <v>0.19909925124892758</v>
      </c>
      <c r="R102" s="181">
        <f t="shared" si="41"/>
        <v>0.76065573770491812</v>
      </c>
    </row>
    <row r="103" spans="3:18" x14ac:dyDescent="0.2">
      <c r="C103" s="178">
        <v>97</v>
      </c>
      <c r="D103" s="6">
        <f t="shared" ref="D103:D106" si="50">C103/100*(VIN_max-VIN_min)+VIN_min</f>
        <v>23.49</v>
      </c>
      <c r="E103" s="456">
        <f t="shared" si="29"/>
        <v>15.25</v>
      </c>
      <c r="F103" s="225">
        <f t="shared" si="30"/>
        <v>0.39364997418688696</v>
      </c>
      <c r="G103" s="180">
        <f t="shared" si="44"/>
        <v>6.0335617256066083</v>
      </c>
      <c r="H103" s="225">
        <f t="shared" si="45"/>
        <v>0.4022374483737739</v>
      </c>
      <c r="I103" s="456">
        <f t="shared" si="33"/>
        <v>38.739999999999995</v>
      </c>
      <c r="J103" s="180">
        <f t="shared" si="34"/>
        <v>1.0814507743092632</v>
      </c>
      <c r="K103" s="180">
        <f t="shared" si="46"/>
        <v>1.8415509141068769</v>
      </c>
      <c r="L103" s="180">
        <f t="shared" si="36"/>
        <v>2.8365921949095432</v>
      </c>
      <c r="M103" s="456">
        <f t="shared" si="43"/>
        <v>213.76002757860266</v>
      </c>
      <c r="N103" s="205">
        <f t="shared" si="37"/>
        <v>350</v>
      </c>
      <c r="O103" s="225">
        <f t="shared" si="47"/>
        <v>0.66048842097499805</v>
      </c>
      <c r="P103" s="181">
        <f t="shared" si="48"/>
        <v>1.7324286451803228</v>
      </c>
      <c r="Q103" s="181">
        <f t="shared" si="49"/>
        <v>0.20024358555372615</v>
      </c>
      <c r="R103" s="181">
        <f t="shared" si="41"/>
        <v>0.76065573770491812</v>
      </c>
    </row>
    <row r="104" spans="3:18" x14ac:dyDescent="0.2">
      <c r="C104" s="178">
        <v>98</v>
      </c>
      <c r="D104" s="6">
        <f t="shared" si="50"/>
        <v>23.66</v>
      </c>
      <c r="E104" s="456">
        <f t="shared" si="29"/>
        <v>15.25</v>
      </c>
      <c r="F104" s="225">
        <f t="shared" si="30"/>
        <v>0.39193009509123622</v>
      </c>
      <c r="G104" s="180">
        <f t="shared" si="44"/>
        <v>6.0506755975327682</v>
      </c>
      <c r="H104" s="225">
        <f t="shared" si="45"/>
        <v>0.40337837316885122</v>
      </c>
      <c r="I104" s="456">
        <f t="shared" si="33"/>
        <v>38.909999999999997</v>
      </c>
      <c r="J104" s="180">
        <f t="shared" si="34"/>
        <v>1.0783919737261476</v>
      </c>
      <c r="K104" s="180">
        <f t="shared" si="46"/>
        <v>1.8231478845750595</v>
      </c>
      <c r="L104" s="180">
        <f t="shared" si="36"/>
        <v>2.8285691114128464</v>
      </c>
      <c r="M104" s="456">
        <f t="shared" si="43"/>
        <v>214.97438491260272</v>
      </c>
      <c r="N104" s="205">
        <f t="shared" si="37"/>
        <v>350</v>
      </c>
      <c r="O104" s="225">
        <f t="shared" si="47"/>
        <v>0.66236186070418912</v>
      </c>
      <c r="P104" s="181">
        <f t="shared" si="48"/>
        <v>1.7373425854536111</v>
      </c>
      <c r="Q104" s="181">
        <f t="shared" si="49"/>
        <v>0.20138115682679408</v>
      </c>
      <c r="R104" s="181">
        <f t="shared" si="41"/>
        <v>0.76065573770491812</v>
      </c>
    </row>
    <row r="105" spans="3:18" x14ac:dyDescent="0.2">
      <c r="C105" s="178">
        <v>99</v>
      </c>
      <c r="D105" s="6">
        <f t="shared" si="50"/>
        <v>23.83</v>
      </c>
      <c r="E105" s="456">
        <f t="shared" si="29"/>
        <v>15.25</v>
      </c>
      <c r="F105" s="225">
        <f t="shared" si="30"/>
        <v>0.39022517911975435</v>
      </c>
      <c r="G105" s="180">
        <f t="shared" si="44"/>
        <v>6.0676405770214945</v>
      </c>
      <c r="H105" s="225">
        <f t="shared" si="45"/>
        <v>0.40450937180143298</v>
      </c>
      <c r="I105" s="456">
        <f t="shared" si="33"/>
        <v>39.08</v>
      </c>
      <c r="J105" s="180">
        <f t="shared" si="34"/>
        <v>1.0753768152831187</v>
      </c>
      <c r="K105" s="180">
        <f t="shared" si="46"/>
        <v>1.8050806802905899</v>
      </c>
      <c r="L105" s="180">
        <f t="shared" si="36"/>
        <v>2.820660499103262</v>
      </c>
      <c r="M105" s="456">
        <f t="shared" si="43"/>
        <v>216.18157203750815</v>
      </c>
      <c r="N105" s="205">
        <f t="shared" si="37"/>
        <v>350</v>
      </c>
      <c r="O105" s="225">
        <f t="shared" si="47"/>
        <v>0.66421900131598166</v>
      </c>
      <c r="P105" s="181">
        <f t="shared" si="48"/>
        <v>1.7422137739435586</v>
      </c>
      <c r="Q105" s="181">
        <f t="shared" si="49"/>
        <v>0.20251201127635415</v>
      </c>
      <c r="R105" s="181">
        <f t="shared" si="41"/>
        <v>0.76065573770491812</v>
      </c>
    </row>
    <row r="106" spans="3:18" x14ac:dyDescent="0.2">
      <c r="C106" s="178">
        <v>100</v>
      </c>
      <c r="D106" s="6">
        <f t="shared" si="50"/>
        <v>24</v>
      </c>
      <c r="E106" s="456">
        <f t="shared" si="29"/>
        <v>15.25</v>
      </c>
      <c r="F106" s="225">
        <f t="shared" si="30"/>
        <v>0.38853503184713378</v>
      </c>
      <c r="G106" s="180">
        <f t="shared" si="44"/>
        <v>6.0844585987261137</v>
      </c>
      <c r="H106" s="225">
        <f t="shared" si="45"/>
        <v>0.40563057324840757</v>
      </c>
      <c r="I106" s="456">
        <f t="shared" si="33"/>
        <v>39.25</v>
      </c>
      <c r="J106" s="180">
        <f t="shared" si="34"/>
        <v>1.0724043715846994</v>
      </c>
      <c r="K106" s="180">
        <f t="shared" si="46"/>
        <v>1.7873406193078327</v>
      </c>
      <c r="L106" s="180">
        <f t="shared" si="36"/>
        <v>2.8128639254680641</v>
      </c>
      <c r="M106" s="456">
        <f t="shared" si="43"/>
        <v>217.38163820033265</v>
      </c>
      <c r="N106" s="205">
        <f t="shared" si="37"/>
        <v>350</v>
      </c>
      <c r="O106" s="225">
        <f t="shared" si="47"/>
        <v>0.66606005459508633</v>
      </c>
      <c r="P106" s="181">
        <f t="shared" si="48"/>
        <v>1.7470427661510461</v>
      </c>
      <c r="Q106" s="181">
        <f t="shared" si="49"/>
        <v>0.20363619503544039</v>
      </c>
      <c r="R106" s="181">
        <f t="shared" si="41"/>
        <v>0.76065573770491812</v>
      </c>
    </row>
  </sheetData>
  <mergeCells count="1">
    <mergeCell ref="F4:O4"/>
  </mergeCells>
  <phoneticPr fontId="82" type="noConversion"/>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CC133"/>
  <sheetViews>
    <sheetView showWhiteSpace="0" zoomScaleNormal="100" workbookViewId="0">
      <pane ySplit="5" topLeftCell="A6" activePane="bottomLeft" state="frozen"/>
      <selection pane="bottomLeft" activeCell="E54" sqref="E54"/>
    </sheetView>
  </sheetViews>
  <sheetFormatPr defaultColWidth="9.140625" defaultRowHeight="12.75" x14ac:dyDescent="0.2"/>
  <cols>
    <col min="1" max="1" width="15.7109375" style="178" customWidth="1"/>
    <col min="2" max="2" width="11.5703125" style="178" customWidth="1"/>
    <col min="3" max="3" width="9.140625" style="178"/>
    <col min="4" max="4" width="12.42578125" style="178" bestFit="1" customWidth="1"/>
    <col min="5" max="5" width="51.42578125" style="178" customWidth="1"/>
    <col min="6" max="6" width="13.42578125" style="178" customWidth="1"/>
    <col min="7" max="7" width="10" style="178" customWidth="1"/>
    <col min="8" max="8" width="6.85546875" style="178" customWidth="1"/>
    <col min="9" max="9" width="12.42578125" style="178" bestFit="1" customWidth="1"/>
    <col min="10" max="10" width="9.140625" style="224" customWidth="1"/>
    <col min="11" max="11" width="8.85546875"/>
    <col min="13" max="13" width="10.85546875" customWidth="1"/>
    <col min="14" max="14" width="12" style="178" customWidth="1"/>
    <col min="15" max="15" width="12.7109375" style="224" customWidth="1"/>
    <col min="16" max="16" width="11.42578125" style="224" customWidth="1"/>
    <col min="17" max="17" width="12.42578125" style="224" customWidth="1"/>
    <col min="18" max="19" width="10.5703125" style="205" customWidth="1"/>
    <col min="20" max="20" width="10" style="205" customWidth="1"/>
    <col min="21" max="21" width="10.5703125" style="205" customWidth="1"/>
    <col min="22" max="22" width="8.42578125" style="224" customWidth="1"/>
    <col min="23" max="23" width="9.28515625" style="224" customWidth="1"/>
    <col min="24" max="24" width="9.42578125" style="178" customWidth="1"/>
    <col min="25" max="25" width="9.42578125" style="224" customWidth="1"/>
    <col min="26" max="26" width="8.28515625" style="225" customWidth="1"/>
    <col min="27" max="27" width="9.5703125" style="224" customWidth="1"/>
    <col min="28" max="28" width="9.42578125" style="224" bestFit="1" customWidth="1"/>
    <col min="29" max="29" width="8.5703125" style="224" customWidth="1"/>
    <col min="30" max="30" width="9.7109375" style="226" customWidth="1"/>
    <col min="31" max="31" width="9.140625" style="226" customWidth="1"/>
    <col min="32" max="32" width="8.140625" style="224" customWidth="1"/>
    <col min="33" max="33" width="10.28515625" style="224" customWidth="1"/>
    <col min="34" max="34" width="9.42578125" style="224" customWidth="1"/>
    <col min="35" max="35" width="8.85546875"/>
    <col min="36" max="36" width="9.7109375" style="224" customWidth="1"/>
    <col min="37" max="37" width="11.5703125" style="224" customWidth="1"/>
    <col min="38" max="38" width="10.140625" style="224" customWidth="1"/>
    <col min="39" max="39" width="11.140625" style="224" customWidth="1"/>
    <col min="40" max="40" width="9.140625" style="224"/>
    <col min="41" max="41" width="10.28515625" style="224" customWidth="1"/>
    <col min="42" max="42" width="9.85546875" style="224" customWidth="1"/>
    <col min="43" max="43" width="9.7109375" style="224" customWidth="1"/>
    <col min="44" max="44" width="10.28515625" style="224" customWidth="1"/>
    <col min="45" max="45" width="10.140625" style="224" customWidth="1"/>
    <col min="46" max="46" width="10.42578125" style="224" customWidth="1"/>
    <col min="47" max="47" width="11.28515625" style="224" customWidth="1"/>
    <col min="48" max="48" width="11.7109375" style="224" customWidth="1"/>
    <col min="49" max="49" width="10.42578125" style="224" customWidth="1"/>
    <col min="50" max="50" width="11.42578125" style="224" customWidth="1"/>
    <col min="51" max="51" width="10.140625" style="224" customWidth="1"/>
    <col min="52" max="52" width="10" style="180" bestFit="1" customWidth="1"/>
    <col min="53" max="55" width="12.7109375" style="353" customWidth="1"/>
    <col min="56" max="56" width="14" style="353" customWidth="1"/>
    <col min="57" max="57" width="12.85546875" style="353" customWidth="1"/>
    <col min="58" max="58" width="10.42578125" style="353" customWidth="1"/>
    <col min="59" max="59" width="9" style="353" customWidth="1"/>
    <col min="60" max="60" width="8.85546875" style="353" customWidth="1"/>
    <col min="61" max="61" width="10.85546875" style="353" customWidth="1"/>
    <col min="62" max="62" width="11.140625" style="353" customWidth="1"/>
    <col min="63" max="64" width="9.140625" style="353"/>
    <col min="65" max="65" width="8.85546875" style="180" customWidth="1"/>
    <col min="66" max="66" width="9.140625" style="225"/>
    <col min="67" max="67" width="12.5703125" style="178" customWidth="1"/>
    <col min="68" max="68" width="13.5703125" style="180" customWidth="1"/>
    <col min="69" max="69" width="12.7109375" style="205" customWidth="1"/>
    <col min="70" max="70" width="3.7109375" style="178" customWidth="1"/>
    <col min="71" max="71" width="12.42578125" style="178" bestFit="1" customWidth="1"/>
    <col min="72" max="72" width="3.5703125" style="178" customWidth="1"/>
    <col min="73" max="73" width="9.140625" style="180"/>
    <col min="74" max="74" width="11.140625" style="180" customWidth="1"/>
    <col min="75" max="75" width="9.140625" style="180"/>
    <col min="76" max="76" width="4.7109375" style="178" customWidth="1"/>
    <col min="77" max="77" width="3.7109375" style="178" customWidth="1"/>
    <col min="78" max="78" width="12.42578125" style="178" customWidth="1"/>
    <col min="79" max="79" width="11.85546875" style="178" customWidth="1"/>
    <col min="80" max="80" width="11.5703125" style="178" customWidth="1"/>
    <col min="81" max="81" width="11.7109375" style="178" customWidth="1"/>
    <col min="82" max="82" width="9.140625" style="178"/>
    <col min="83" max="83" width="9.140625" style="178" customWidth="1"/>
    <col min="84" max="16384" width="9.140625" style="178"/>
  </cols>
  <sheetData>
    <row r="1" spans="1:81" x14ac:dyDescent="0.2">
      <c r="A1" s="691" t="s">
        <v>521</v>
      </c>
      <c r="B1" s="691"/>
      <c r="C1" s="691"/>
      <c r="D1" s="691"/>
      <c r="E1" s="691"/>
    </row>
    <row r="2" spans="1:81" ht="15.75" x14ac:dyDescent="0.2">
      <c r="A2" s="691"/>
      <c r="B2" s="691"/>
      <c r="C2" s="691"/>
      <c r="D2" s="691"/>
      <c r="E2" s="691"/>
      <c r="G2" s="692" t="s">
        <v>22</v>
      </c>
      <c r="H2" s="692"/>
      <c r="AF2" s="224">
        <v>1.9257738538542499E-2</v>
      </c>
      <c r="AG2" s="224">
        <v>7.417209872377299E-4</v>
      </c>
      <c r="AH2" s="224">
        <v>1.2403450565440797E-3</v>
      </c>
      <c r="AI2">
        <v>20</v>
      </c>
      <c r="AJ2" s="224">
        <v>7.1523178807947021</v>
      </c>
      <c r="AK2" s="224">
        <v>0</v>
      </c>
      <c r="AL2" s="224">
        <v>8.3629954314142624E-4</v>
      </c>
      <c r="AM2" s="224">
        <v>1.5780205303791562E-3</v>
      </c>
      <c r="AO2" s="276" t="e">
        <f>Ifb</f>
        <v>#NAME?</v>
      </c>
    </row>
    <row r="3" spans="1:81" ht="13.5" thickBot="1" x14ac:dyDescent="0.25">
      <c r="A3" s="691"/>
      <c r="B3" s="691"/>
      <c r="C3" s="691"/>
      <c r="D3" s="691"/>
      <c r="E3" s="691"/>
    </row>
    <row r="4" spans="1:81" ht="13.5" thickBot="1" x14ac:dyDescent="0.25">
      <c r="A4" s="693"/>
      <c r="B4" s="693"/>
      <c r="C4" s="693"/>
      <c r="D4" s="693"/>
      <c r="E4" s="693"/>
      <c r="H4" s="228" t="s">
        <v>23</v>
      </c>
      <c r="I4" s="229"/>
      <c r="J4" s="230"/>
      <c r="K4" s="694" t="s">
        <v>190</v>
      </c>
      <c r="L4" s="687"/>
      <c r="M4" s="688"/>
      <c r="N4" s="688"/>
      <c r="O4" s="688"/>
      <c r="P4" s="687"/>
      <c r="Q4" s="687"/>
      <c r="R4" s="688"/>
      <c r="S4" s="688"/>
      <c r="T4" s="688"/>
      <c r="U4" s="690"/>
      <c r="V4" s="231" t="s">
        <v>191</v>
      </c>
      <c r="W4" s="232"/>
      <c r="X4" s="233"/>
      <c r="Y4" s="234"/>
      <c r="Z4" s="235" t="s">
        <v>14</v>
      </c>
      <c r="AA4" s="236"/>
      <c r="AB4" s="230"/>
      <c r="AC4" s="237" t="s">
        <v>28</v>
      </c>
      <c r="AD4" s="238"/>
      <c r="AE4" s="239"/>
      <c r="AF4" s="231" t="s">
        <v>192</v>
      </c>
      <c r="AG4" s="232"/>
      <c r="AH4" s="232"/>
      <c r="AI4" s="455"/>
      <c r="AJ4" s="455"/>
      <c r="AK4" s="232"/>
      <c r="AL4" s="232"/>
      <c r="AM4" s="230"/>
      <c r="AN4" s="240" t="s">
        <v>193</v>
      </c>
      <c r="AO4" s="241"/>
      <c r="AP4" s="241"/>
      <c r="AQ4" s="464" t="s">
        <v>194</v>
      </c>
      <c r="AR4" s="465"/>
      <c r="AS4" s="465"/>
      <c r="AT4" s="241"/>
      <c r="AU4" s="242"/>
      <c r="AV4" s="243"/>
      <c r="AW4" s="244"/>
      <c r="AX4" s="231" t="s">
        <v>180</v>
      </c>
      <c r="AY4" s="232"/>
      <c r="AZ4" s="233"/>
      <c r="BA4" s="354"/>
      <c r="BB4" s="354"/>
      <c r="BC4" s="354"/>
      <c r="BD4" s="354"/>
      <c r="BE4" s="354"/>
      <c r="BF4" s="354"/>
      <c r="BG4" s="354"/>
      <c r="BH4" s="354"/>
      <c r="BI4" s="354"/>
      <c r="BJ4" s="354"/>
      <c r="BK4" s="354"/>
      <c r="BL4" s="354"/>
      <c r="BM4" s="347"/>
      <c r="BN4" s="351"/>
      <c r="BO4" s="233"/>
      <c r="BP4" s="349"/>
      <c r="BQ4" s="461"/>
      <c r="BR4" s="462"/>
      <c r="BS4" s="462"/>
      <c r="BT4" s="462"/>
      <c r="BU4" s="462"/>
      <c r="BV4" s="462"/>
      <c r="BW4" s="462"/>
      <c r="BX4" s="462"/>
      <c r="BY4" s="462"/>
      <c r="BZ4" s="462"/>
      <c r="CA4" s="462"/>
      <c r="CB4" s="462"/>
      <c r="CC4" s="463"/>
    </row>
    <row r="5" spans="1:81" ht="78" customHeight="1" thickBot="1" x14ac:dyDescent="0.45">
      <c r="A5" s="245" t="s">
        <v>42</v>
      </c>
      <c r="B5" s="246"/>
      <c r="C5" s="246"/>
      <c r="D5" s="247"/>
      <c r="E5" s="248"/>
      <c r="F5" s="197"/>
      <c r="G5" s="197"/>
      <c r="H5" s="249" t="s">
        <v>25</v>
      </c>
      <c r="I5" s="250" t="s">
        <v>195</v>
      </c>
      <c r="J5" s="251" t="s">
        <v>196</v>
      </c>
      <c r="K5" s="259" t="s">
        <v>326</v>
      </c>
      <c r="L5" s="252" t="s">
        <v>48</v>
      </c>
      <c r="M5" s="252" t="s">
        <v>327</v>
      </c>
      <c r="N5" s="457" t="s">
        <v>197</v>
      </c>
      <c r="O5" s="545" t="s">
        <v>417</v>
      </c>
      <c r="P5" s="545" t="s">
        <v>418</v>
      </c>
      <c r="Q5" s="545" t="s">
        <v>419</v>
      </c>
      <c r="R5" s="253" t="s">
        <v>198</v>
      </c>
      <c r="S5" s="254" t="s">
        <v>199</v>
      </c>
      <c r="T5" s="254" t="s">
        <v>200</v>
      </c>
      <c r="U5" s="253" t="s">
        <v>331</v>
      </c>
      <c r="V5" s="255" t="s">
        <v>201</v>
      </c>
      <c r="W5" s="252" t="s">
        <v>202</v>
      </c>
      <c r="X5" s="250" t="s">
        <v>203</v>
      </c>
      <c r="Y5" s="251" t="s">
        <v>204</v>
      </c>
      <c r="Z5" s="256" t="s">
        <v>201</v>
      </c>
      <c r="AA5" s="252" t="s">
        <v>205</v>
      </c>
      <c r="AB5" s="251" t="s">
        <v>206</v>
      </c>
      <c r="AC5" s="255" t="s">
        <v>201</v>
      </c>
      <c r="AD5" s="257" t="s">
        <v>207</v>
      </c>
      <c r="AE5" s="258" t="s">
        <v>208</v>
      </c>
      <c r="AF5" s="255" t="s">
        <v>201</v>
      </c>
      <c r="AG5" s="252" t="s">
        <v>209</v>
      </c>
      <c r="AH5" s="252" t="s">
        <v>210</v>
      </c>
      <c r="AI5" s="252" t="s">
        <v>328</v>
      </c>
      <c r="AJ5" s="252" t="s">
        <v>325</v>
      </c>
      <c r="AK5" s="252" t="s">
        <v>211</v>
      </c>
      <c r="AL5" s="259" t="s">
        <v>212</v>
      </c>
      <c r="AM5" s="251" t="s">
        <v>213</v>
      </c>
      <c r="AN5" s="260" t="s">
        <v>201</v>
      </c>
      <c r="AO5" s="261" t="s">
        <v>214</v>
      </c>
      <c r="AP5" s="261" t="s">
        <v>215</v>
      </c>
      <c r="AQ5" s="261" t="s">
        <v>216</v>
      </c>
      <c r="AR5" s="261" t="s">
        <v>217</v>
      </c>
      <c r="AS5" s="262" t="s">
        <v>218</v>
      </c>
      <c r="AT5" s="260" t="s">
        <v>219</v>
      </c>
      <c r="AU5" s="260" t="s">
        <v>220</v>
      </c>
      <c r="AV5" s="260" t="s">
        <v>221</v>
      </c>
      <c r="AW5" s="263" t="s">
        <v>222</v>
      </c>
      <c r="AX5" s="255" t="s">
        <v>223</v>
      </c>
      <c r="AY5" s="252" t="s">
        <v>224</v>
      </c>
      <c r="AZ5" s="264" t="s">
        <v>225</v>
      </c>
      <c r="BA5" s="355" t="s">
        <v>226</v>
      </c>
      <c r="BB5" s="355" t="s">
        <v>227</v>
      </c>
      <c r="BC5" s="355" t="s">
        <v>228</v>
      </c>
      <c r="BD5" s="355" t="s">
        <v>229</v>
      </c>
      <c r="BE5" s="355" t="s">
        <v>230</v>
      </c>
      <c r="BF5" s="355" t="s">
        <v>231</v>
      </c>
      <c r="BG5" s="355" t="s">
        <v>232</v>
      </c>
      <c r="BH5" s="356" t="s">
        <v>233</v>
      </c>
      <c r="BI5" s="357" t="s">
        <v>234</v>
      </c>
      <c r="BJ5" s="358" t="s">
        <v>235</v>
      </c>
      <c r="BK5" s="359" t="s">
        <v>236</v>
      </c>
      <c r="BL5" s="358" t="s">
        <v>282</v>
      </c>
      <c r="BM5" s="348" t="s">
        <v>237</v>
      </c>
      <c r="BN5" s="352" t="s">
        <v>238</v>
      </c>
      <c r="BO5" s="265" t="s">
        <v>239</v>
      </c>
      <c r="BP5" s="350" t="s">
        <v>239</v>
      </c>
      <c r="BQ5" s="266" t="s">
        <v>240</v>
      </c>
      <c r="BR5" s="267"/>
      <c r="BS5" s="268" t="s">
        <v>241</v>
      </c>
      <c r="BT5" s="267"/>
      <c r="BU5" s="362" t="s">
        <v>284</v>
      </c>
      <c r="BV5" s="363" t="s">
        <v>285</v>
      </c>
      <c r="BW5" s="460" t="s">
        <v>283</v>
      </c>
      <c r="BX5" s="267"/>
      <c r="BY5" s="267"/>
      <c r="BZ5" s="459" t="s">
        <v>290</v>
      </c>
      <c r="CA5" s="263" t="s">
        <v>344</v>
      </c>
      <c r="CB5" s="363" t="s">
        <v>292</v>
      </c>
      <c r="CC5" s="460" t="s">
        <v>291</v>
      </c>
    </row>
    <row r="6" spans="1:81" x14ac:dyDescent="0.2">
      <c r="A6" s="269" t="s">
        <v>26</v>
      </c>
      <c r="B6" s="270" t="s">
        <v>43</v>
      </c>
      <c r="C6" s="271" t="s">
        <v>33</v>
      </c>
      <c r="D6" s="272" t="s">
        <v>90</v>
      </c>
      <c r="E6" s="273" t="s">
        <v>41</v>
      </c>
      <c r="F6" s="274"/>
      <c r="G6" s="274"/>
      <c r="H6" s="178">
        <v>0.1</v>
      </c>
      <c r="I6" s="470">
        <f t="shared" ref="I6:I37" si="0">IF(PLOT_TYPE=1, H6/100*Iout_max, min_I*EXP(H6*rr/100))</f>
        <v>2.9999999999999997E-4</v>
      </c>
      <c r="J6" s="225"/>
      <c r="K6" s="225"/>
      <c r="L6" s="225"/>
      <c r="M6" s="225"/>
      <c r="N6" s="275"/>
      <c r="O6" s="180"/>
      <c r="P6" s="225"/>
      <c r="Q6" s="456"/>
      <c r="S6" s="276"/>
      <c r="T6" s="276"/>
      <c r="U6" s="276"/>
      <c r="AJ6" s="456"/>
      <c r="AY6" s="224">
        <f>Vout*I6</f>
        <v>4.4999999999999997E-3</v>
      </c>
      <c r="AZ6" s="277">
        <f>AY6/(AY6+AX6)</f>
        <v>1</v>
      </c>
      <c r="BA6" s="353">
        <f t="shared" ref="BA6:BA9" si="1">AG6/($AY6+$AX6)</f>
        <v>0</v>
      </c>
      <c r="BB6" s="353">
        <f>AO6/($AY6+$AX6)</f>
        <v>0</v>
      </c>
      <c r="BC6" s="353" t="e">
        <f t="shared" ref="BC6:BC9" si="2">Vin*R6*(QgBot+Qg)/($AY6+$AX6)</f>
        <v>#NAME?</v>
      </c>
      <c r="BD6" s="353">
        <f t="shared" ref="BD6:BD9" si="3">AK6/($AY6+$AX6)</f>
        <v>0</v>
      </c>
      <c r="BE6" s="353">
        <f t="shared" ref="BE6:BE9" si="4">AQ6/(AX6+AY6)</f>
        <v>0</v>
      </c>
      <c r="BF6" s="353">
        <f t="shared" ref="BF6:BF9" si="5">AR6/($AY6+$AX6)</f>
        <v>0</v>
      </c>
      <c r="BG6" s="353">
        <f t="shared" ref="BG6:BG9" si="6">W6/($AY6+$AX6)</f>
        <v>0</v>
      </c>
      <c r="BH6" s="353">
        <f t="shared" ref="BH6:BH9" si="7">X6/($AY6+$AX6)</f>
        <v>0</v>
      </c>
      <c r="BI6" s="353">
        <f t="shared" ref="BI6:BI9" si="8">(AB6+AE6)/($AY6+$AX6)</f>
        <v>0</v>
      </c>
      <c r="BJ6" s="227">
        <f>AT6/($AY6+$AX6)</f>
        <v>0</v>
      </c>
      <c r="BK6" s="227">
        <f>AX6/($AY6+$AX6)</f>
        <v>0</v>
      </c>
      <c r="BL6" s="227">
        <f>AZ6</f>
        <v>1</v>
      </c>
      <c r="BM6" s="180">
        <f>100*BL6</f>
        <v>100</v>
      </c>
      <c r="BN6" s="225">
        <f xml:space="preserve"> CHOOSE(MODE, I6*1000,#REF!)</f>
        <v>0.3</v>
      </c>
      <c r="BO6" s="180">
        <v>59.702372085750142</v>
      </c>
      <c r="BP6" s="227">
        <f>BO6/100</f>
        <v>0.59702372085750144</v>
      </c>
      <c r="BQ6" s="278">
        <f t="shared" ref="BQ6:BQ9" si="9">R6/1000</f>
        <v>0</v>
      </c>
      <c r="BR6" s="279"/>
      <c r="BS6" s="227">
        <f>AL6/($AY6+$AX6)</f>
        <v>0</v>
      </c>
      <c r="BT6" s="280"/>
      <c r="BU6" s="180">
        <f>1000*AW6</f>
        <v>0</v>
      </c>
      <c r="BV6" s="180">
        <f>1000*AU6</f>
        <v>0</v>
      </c>
      <c r="BW6" s="180">
        <f t="shared" ref="BW6:BW9" si="10">1000*Y6</f>
        <v>0</v>
      </c>
      <c r="BX6" s="227"/>
      <c r="BY6" s="227"/>
      <c r="BZ6" s="180">
        <f xml:space="preserve"> IF(MODE=1, BM6,#REF!)</f>
        <v>100</v>
      </c>
      <c r="CA6" s="180">
        <f xml:space="preserve"> IF(MODE=1, BU6,#REF!)</f>
        <v>0</v>
      </c>
      <c r="CB6" s="180">
        <f xml:space="preserve"> IF(MODE=1, BV6,#REF!)</f>
        <v>0</v>
      </c>
      <c r="CC6" s="180">
        <f xml:space="preserve"> IF(MODE=1, BW6,#REF!)</f>
        <v>0</v>
      </c>
    </row>
    <row r="7" spans="1:81" x14ac:dyDescent="0.2">
      <c r="A7" s="427"/>
      <c r="B7" s="270"/>
      <c r="C7" s="271"/>
      <c r="D7" s="272"/>
      <c r="E7" s="273"/>
      <c r="F7" s="274"/>
      <c r="G7" s="274"/>
      <c r="H7" s="178">
        <v>1</v>
      </c>
      <c r="I7" s="470">
        <f t="shared" si="0"/>
        <v>3.0000000000000001E-3</v>
      </c>
      <c r="J7" s="225"/>
      <c r="K7" s="225"/>
      <c r="L7" s="225"/>
      <c r="M7" s="225"/>
      <c r="N7" s="275"/>
      <c r="O7" s="180"/>
      <c r="P7" s="225"/>
      <c r="Q7" s="456"/>
      <c r="S7" s="276"/>
      <c r="T7" s="276"/>
      <c r="U7" s="276"/>
      <c r="AJ7" s="456"/>
      <c r="AY7" s="224">
        <f>Vout*I7</f>
        <v>4.4999999999999998E-2</v>
      </c>
      <c r="AZ7" s="277">
        <f>AY7/(AY7+AX7)</f>
        <v>1</v>
      </c>
      <c r="BA7" s="353">
        <f t="shared" si="1"/>
        <v>0</v>
      </c>
      <c r="BB7" s="353">
        <f>AO7/($AY7+$AX7)</f>
        <v>0</v>
      </c>
      <c r="BC7" s="353" t="e">
        <f t="shared" si="2"/>
        <v>#NAME?</v>
      </c>
      <c r="BD7" s="353">
        <f t="shared" ref="BD7" si="11">AK7/($AY7+$AX7)</f>
        <v>0</v>
      </c>
      <c r="BE7" s="353">
        <f t="shared" ref="BE7" si="12">AQ7/(AX7+AY7)</f>
        <v>0</v>
      </c>
      <c r="BF7" s="353">
        <f t="shared" ref="BF7" si="13">AR7/($AY7+$AX7)</f>
        <v>0</v>
      </c>
      <c r="BG7" s="353">
        <f t="shared" si="6"/>
        <v>0</v>
      </c>
      <c r="BH7" s="353">
        <f t="shared" si="7"/>
        <v>0</v>
      </c>
      <c r="BI7" s="353">
        <f t="shared" si="8"/>
        <v>0</v>
      </c>
      <c r="BJ7" s="227">
        <f>AT7/($AY7+$AX7)</f>
        <v>0</v>
      </c>
      <c r="BK7" s="227">
        <f t="shared" ref="BK7:BK9" si="14">AX7/($AY7+$AX7)</f>
        <v>0</v>
      </c>
      <c r="BL7" s="227">
        <f>AZ7</f>
        <v>1</v>
      </c>
      <c r="BM7" s="180">
        <f>100*BL7</f>
        <v>100</v>
      </c>
      <c r="BN7" s="225">
        <f xml:space="preserve"> CHOOSE(MODE, I7*1000,#REF!)</f>
        <v>3</v>
      </c>
      <c r="BO7" s="180">
        <v>83.682599061581868</v>
      </c>
      <c r="BP7" s="227">
        <f t="shared" ref="BP7:BP9" si="15">BO7/100</f>
        <v>0.83682599061581864</v>
      </c>
      <c r="BQ7" s="278">
        <f t="shared" si="9"/>
        <v>0</v>
      </c>
      <c r="BR7" s="279"/>
      <c r="BS7" s="227">
        <f>AL7/($AY7+$AX7)</f>
        <v>0</v>
      </c>
      <c r="BT7" s="280"/>
      <c r="BU7" s="180">
        <f>1000*AW7</f>
        <v>0</v>
      </c>
      <c r="BV7" s="180">
        <f>1000*AU7</f>
        <v>0</v>
      </c>
      <c r="BW7" s="180">
        <f t="shared" si="10"/>
        <v>0</v>
      </c>
      <c r="BX7" s="227"/>
      <c r="BY7" s="227"/>
      <c r="BZ7" s="180">
        <f xml:space="preserve"> IF(MODE=1, BM7,#REF!)</f>
        <v>100</v>
      </c>
      <c r="CA7" s="180">
        <f xml:space="preserve"> IF(MODE=1, BU7,#REF!)</f>
        <v>0</v>
      </c>
      <c r="CB7" s="180">
        <f xml:space="preserve"> IF(MODE=1, BV7,#REF!)</f>
        <v>0</v>
      </c>
      <c r="CC7" s="180">
        <f xml:space="preserve"> IF(MODE=1, BW7,#REF!)</f>
        <v>0</v>
      </c>
    </row>
    <row r="8" spans="1:81" x14ac:dyDescent="0.2">
      <c r="A8" s="281" t="s">
        <v>3</v>
      </c>
      <c r="B8" s="282">
        <f>Vin</f>
        <v>12</v>
      </c>
      <c r="C8" s="283" t="s">
        <v>0</v>
      </c>
      <c r="D8" s="202">
        <f>B8</f>
        <v>12</v>
      </c>
      <c r="E8" s="196" t="s">
        <v>3</v>
      </c>
      <c r="F8" s="274"/>
      <c r="G8" s="274"/>
      <c r="H8" s="178">
        <v>2</v>
      </c>
      <c r="I8" s="470">
        <f t="shared" si="0"/>
        <v>6.0000000000000001E-3</v>
      </c>
      <c r="J8" s="225"/>
      <c r="K8" s="225"/>
      <c r="L8" s="225"/>
      <c r="M8" s="225"/>
      <c r="N8" s="275"/>
      <c r="O8" s="180"/>
      <c r="P8" s="225"/>
      <c r="Q8" s="456"/>
      <c r="S8" s="276"/>
      <c r="T8" s="276"/>
      <c r="U8" s="276"/>
      <c r="AJ8" s="456"/>
      <c r="AY8" s="224">
        <f>Vout*I8</f>
        <v>0.09</v>
      </c>
      <c r="AZ8" s="277">
        <f>AY8/(AY8+AX8)</f>
        <v>1</v>
      </c>
      <c r="BA8" s="353">
        <f t="shared" si="1"/>
        <v>0</v>
      </c>
      <c r="BB8" s="353">
        <f t="shared" ref="BB8:BB9" si="16">AO8/($AY8+$AX8)</f>
        <v>0</v>
      </c>
      <c r="BC8" s="353" t="e">
        <f t="shared" si="2"/>
        <v>#NAME?</v>
      </c>
      <c r="BD8" s="353">
        <f t="shared" si="3"/>
        <v>0</v>
      </c>
      <c r="BE8" s="353">
        <f t="shared" si="4"/>
        <v>0</v>
      </c>
      <c r="BF8" s="353">
        <f t="shared" si="5"/>
        <v>0</v>
      </c>
      <c r="BG8" s="353">
        <f t="shared" si="6"/>
        <v>0</v>
      </c>
      <c r="BH8" s="353">
        <f t="shared" si="7"/>
        <v>0</v>
      </c>
      <c r="BI8" s="353">
        <f t="shared" si="8"/>
        <v>0</v>
      </c>
      <c r="BJ8" s="227">
        <f t="shared" ref="BJ8:BJ9" si="17">AT8/($AY8+$AX8)</f>
        <v>0</v>
      </c>
      <c r="BK8" s="227">
        <f t="shared" si="14"/>
        <v>0</v>
      </c>
      <c r="BL8" s="227">
        <f t="shared" ref="BL8:BL9" si="18">AZ8</f>
        <v>1</v>
      </c>
      <c r="BM8" s="180">
        <f t="shared" ref="BM8:BM9" si="19">100*BL8</f>
        <v>100</v>
      </c>
      <c r="BN8" s="225">
        <f xml:space="preserve"> CHOOSE(MODE, I8*1000,#REF!)</f>
        <v>6</v>
      </c>
      <c r="BO8" s="180">
        <v>85.591306536493136</v>
      </c>
      <c r="BP8" s="227">
        <f t="shared" si="15"/>
        <v>0.85591306536493139</v>
      </c>
      <c r="BQ8" s="278">
        <f t="shared" si="9"/>
        <v>0</v>
      </c>
      <c r="BR8" s="279"/>
      <c r="BS8" s="227">
        <f t="shared" ref="BS8:BS9" si="20">AL8/($AY8+$AX8)</f>
        <v>0</v>
      </c>
      <c r="BT8" s="280"/>
      <c r="BU8" s="180">
        <f t="shared" ref="BU8:BU9" si="21">1000*AW8</f>
        <v>0</v>
      </c>
      <c r="BV8" s="180">
        <f t="shared" ref="BV8:BV9" si="22">1000*AU8</f>
        <v>0</v>
      </c>
      <c r="BW8" s="180">
        <f t="shared" si="10"/>
        <v>0</v>
      </c>
      <c r="BX8" s="227"/>
      <c r="BY8" s="227"/>
      <c r="BZ8" s="180">
        <f xml:space="preserve"> IF(MODE=1, BM8,#REF!)</f>
        <v>100</v>
      </c>
      <c r="CA8" s="180">
        <f xml:space="preserve"> IF(MODE=1, BU8,#REF!)</f>
        <v>0</v>
      </c>
      <c r="CB8" s="180">
        <f xml:space="preserve"> IF(MODE=1, BV8,#REF!)</f>
        <v>0</v>
      </c>
      <c r="CC8" s="180">
        <f xml:space="preserve"> IF(MODE=1, BW8,#REF!)</f>
        <v>0</v>
      </c>
    </row>
    <row r="9" spans="1:81" x14ac:dyDescent="0.2">
      <c r="A9" s="284" t="s">
        <v>4</v>
      </c>
      <c r="B9" s="282">
        <f>Vout</f>
        <v>15</v>
      </c>
      <c r="C9" s="283" t="s">
        <v>0</v>
      </c>
      <c r="D9" s="202">
        <f>B9</f>
        <v>15</v>
      </c>
      <c r="E9" s="196" t="s">
        <v>4</v>
      </c>
      <c r="F9" s="274"/>
      <c r="G9" s="274"/>
      <c r="H9" s="178">
        <v>3</v>
      </c>
      <c r="I9" s="470">
        <f t="shared" si="0"/>
        <v>8.9999999999999993E-3</v>
      </c>
      <c r="J9" s="225"/>
      <c r="K9" s="225"/>
      <c r="L9" s="225"/>
      <c r="M9" s="225"/>
      <c r="N9" s="275"/>
      <c r="O9" s="180"/>
      <c r="P9" s="225"/>
      <c r="Q9" s="456"/>
      <c r="S9" s="276"/>
      <c r="T9" s="276"/>
      <c r="U9" s="276"/>
      <c r="AJ9" s="456"/>
      <c r="AY9" s="224">
        <f>Vout*I9</f>
        <v>0.13499999999999998</v>
      </c>
      <c r="AZ9" s="277">
        <f t="shared" ref="AZ9" si="23">AY9/(AY9+AX9)</f>
        <v>1</v>
      </c>
      <c r="BA9" s="353">
        <f t="shared" si="1"/>
        <v>0</v>
      </c>
      <c r="BB9" s="353">
        <f t="shared" si="16"/>
        <v>0</v>
      </c>
      <c r="BC9" s="353" t="e">
        <f t="shared" si="2"/>
        <v>#NAME?</v>
      </c>
      <c r="BD9" s="353">
        <f t="shared" si="3"/>
        <v>0</v>
      </c>
      <c r="BE9" s="353">
        <f t="shared" si="4"/>
        <v>0</v>
      </c>
      <c r="BF9" s="353">
        <f t="shared" si="5"/>
        <v>0</v>
      </c>
      <c r="BG9" s="353">
        <f t="shared" si="6"/>
        <v>0</v>
      </c>
      <c r="BH9" s="353">
        <f t="shared" si="7"/>
        <v>0</v>
      </c>
      <c r="BI9" s="353">
        <f t="shared" si="8"/>
        <v>0</v>
      </c>
      <c r="BJ9" s="227">
        <f t="shared" si="17"/>
        <v>0</v>
      </c>
      <c r="BK9" s="227">
        <f t="shared" si="14"/>
        <v>0</v>
      </c>
      <c r="BL9" s="227">
        <f t="shared" si="18"/>
        <v>1</v>
      </c>
      <c r="BM9" s="180">
        <f t="shared" si="19"/>
        <v>100</v>
      </c>
      <c r="BN9" s="225">
        <f xml:space="preserve"> CHOOSE(MODE, I9*1000,#REF!)</f>
        <v>9</v>
      </c>
      <c r="BO9" s="180">
        <v>86.246143423411425</v>
      </c>
      <c r="BP9" s="227">
        <f t="shared" si="15"/>
        <v>0.86246143423411425</v>
      </c>
      <c r="BQ9" s="278">
        <f t="shared" si="9"/>
        <v>0</v>
      </c>
      <c r="BR9" s="279"/>
      <c r="BS9" s="227">
        <f t="shared" si="20"/>
        <v>0</v>
      </c>
      <c r="BT9" s="280"/>
      <c r="BU9" s="180">
        <f t="shared" si="21"/>
        <v>0</v>
      </c>
      <c r="BV9" s="180">
        <f t="shared" si="22"/>
        <v>0</v>
      </c>
      <c r="BW9" s="180">
        <f t="shared" si="10"/>
        <v>0</v>
      </c>
      <c r="BX9" s="227"/>
      <c r="BY9" s="227"/>
      <c r="BZ9" s="180">
        <f xml:space="preserve"> IF(MODE=1, BM9,#REF!)</f>
        <v>100</v>
      </c>
      <c r="CA9" s="180">
        <f xml:space="preserve"> IF(MODE=1, BU9,#REF!)</f>
        <v>0</v>
      </c>
      <c r="CB9" s="180">
        <f xml:space="preserve"> IF(MODE=1, BV9,#REF!)</f>
        <v>0</v>
      </c>
      <c r="CC9" s="180">
        <f xml:space="preserve"> IF(MODE=1, BW9,#REF!)</f>
        <v>0</v>
      </c>
    </row>
    <row r="10" spans="1:81" x14ac:dyDescent="0.2">
      <c r="A10" s="284" t="s">
        <v>5</v>
      </c>
      <c r="B10" s="282">
        <f>Iout</f>
        <v>0.3</v>
      </c>
      <c r="C10" s="283" t="s">
        <v>1</v>
      </c>
      <c r="D10" s="202">
        <f>B10</f>
        <v>0.3</v>
      </c>
      <c r="E10" s="285" t="s">
        <v>242</v>
      </c>
      <c r="F10" s="274"/>
      <c r="G10" s="274"/>
      <c r="H10" s="178">
        <v>4</v>
      </c>
      <c r="I10" s="470">
        <f t="shared" si="0"/>
        <v>1.2E-2</v>
      </c>
      <c r="J10" s="225"/>
      <c r="K10" s="225"/>
      <c r="L10" s="225"/>
      <c r="M10" s="225"/>
      <c r="N10" s="275"/>
      <c r="O10" s="180"/>
      <c r="P10" s="225"/>
      <c r="Q10" s="456"/>
      <c r="S10" s="276"/>
      <c r="T10" s="276"/>
      <c r="U10" s="276"/>
      <c r="AJ10" s="456"/>
      <c r="AZ10" s="277"/>
      <c r="BJ10" s="227"/>
      <c r="BK10" s="227"/>
      <c r="BL10" s="227"/>
      <c r="BO10" s="180"/>
      <c r="BP10" s="227"/>
      <c r="BQ10" s="278"/>
      <c r="BR10" s="279"/>
      <c r="BS10" s="227"/>
      <c r="BT10" s="280"/>
      <c r="BX10" s="227"/>
      <c r="BY10" s="227"/>
      <c r="BZ10" s="180"/>
      <c r="CA10" s="180"/>
      <c r="CB10" s="180"/>
      <c r="CC10" s="180"/>
    </row>
    <row r="11" spans="1:81" x14ac:dyDescent="0.2">
      <c r="A11" s="284" t="s">
        <v>139</v>
      </c>
      <c r="B11" s="365">
        <f>Vout/(Fsw/1000)*100000/16</f>
        <v>312500</v>
      </c>
      <c r="C11" s="286" t="s">
        <v>243</v>
      </c>
      <c r="D11" s="300">
        <f>B11*1000</f>
        <v>312500000</v>
      </c>
      <c r="E11" s="285"/>
      <c r="F11" s="274"/>
      <c r="G11" s="274"/>
      <c r="H11" s="178">
        <v>5</v>
      </c>
      <c r="I11" s="470">
        <f t="shared" si="0"/>
        <v>1.4999999999999999E-2</v>
      </c>
      <c r="J11" s="225"/>
      <c r="K11" s="225"/>
      <c r="L11" s="225"/>
      <c r="M11" s="225"/>
      <c r="N11" s="275"/>
      <c r="O11" s="180"/>
      <c r="P11" s="225"/>
      <c r="Q11" s="456"/>
      <c r="S11" s="276"/>
      <c r="T11" s="276"/>
      <c r="U11" s="276"/>
      <c r="AJ11" s="456"/>
      <c r="AZ11" s="277"/>
      <c r="BJ11" s="227"/>
      <c r="BK11" s="227"/>
      <c r="BL11" s="227"/>
      <c r="BO11" s="180"/>
      <c r="BP11" s="227"/>
      <c r="BQ11" s="278"/>
      <c r="BR11" s="279"/>
      <c r="BS11" s="227"/>
      <c r="BT11" s="280"/>
      <c r="BX11" s="227"/>
      <c r="BY11" s="227"/>
      <c r="BZ11" s="180"/>
      <c r="CA11" s="180"/>
      <c r="CB11" s="180"/>
      <c r="CC11" s="180"/>
    </row>
    <row r="12" spans="1:81" x14ac:dyDescent="0.2">
      <c r="A12" s="284" t="s">
        <v>244</v>
      </c>
      <c r="B12" s="282">
        <v>25</v>
      </c>
      <c r="C12" s="283" t="s">
        <v>102</v>
      </c>
      <c r="D12" s="202">
        <f>B12</f>
        <v>25</v>
      </c>
      <c r="E12" s="285" t="s">
        <v>245</v>
      </c>
      <c r="F12" s="274">
        <f>Turns_Ratio</f>
        <v>6</v>
      </c>
      <c r="H12" s="178">
        <v>6</v>
      </c>
      <c r="I12" s="470">
        <f t="shared" si="0"/>
        <v>1.7999999999999999E-2</v>
      </c>
      <c r="J12" s="225"/>
      <c r="K12" s="225"/>
      <c r="L12" s="225"/>
      <c r="M12" s="225"/>
      <c r="N12" s="275"/>
      <c r="O12" s="180"/>
      <c r="P12" s="225"/>
      <c r="Q12" s="456"/>
      <c r="S12" s="276"/>
      <c r="T12" s="276"/>
      <c r="U12" s="276"/>
      <c r="AJ12" s="456"/>
      <c r="AZ12" s="277"/>
      <c r="BJ12" s="227"/>
      <c r="BK12" s="227"/>
      <c r="BL12" s="227"/>
      <c r="BO12" s="180"/>
      <c r="BP12" s="227"/>
      <c r="BQ12" s="278"/>
      <c r="BR12" s="279"/>
      <c r="BS12" s="227"/>
      <c r="BT12" s="280"/>
      <c r="BX12" s="227"/>
      <c r="BY12" s="227"/>
      <c r="BZ12" s="180"/>
      <c r="CA12" s="180"/>
      <c r="CB12" s="180"/>
      <c r="CC12" s="180"/>
    </row>
    <row r="13" spans="1:81" x14ac:dyDescent="0.2">
      <c r="A13" s="287" t="s">
        <v>246</v>
      </c>
      <c r="B13" s="288">
        <v>5</v>
      </c>
      <c r="C13" s="283" t="s">
        <v>0</v>
      </c>
      <c r="D13" s="202">
        <f>B13</f>
        <v>5</v>
      </c>
      <c r="E13" s="285"/>
      <c r="F13" s="274"/>
      <c r="G13" s="274"/>
      <c r="H13" s="178">
        <v>7</v>
      </c>
      <c r="I13" s="470">
        <f t="shared" si="0"/>
        <v>2.1000000000000001E-2</v>
      </c>
      <c r="J13" s="225"/>
      <c r="K13" s="225"/>
      <c r="L13" s="225"/>
      <c r="M13" s="225"/>
      <c r="N13" s="275"/>
      <c r="O13" s="180"/>
      <c r="P13" s="225"/>
      <c r="Q13" s="456"/>
      <c r="S13" s="276"/>
      <c r="T13" s="276"/>
      <c r="U13" s="276"/>
      <c r="AJ13" s="456"/>
      <c r="AZ13" s="277"/>
      <c r="BJ13" s="227"/>
      <c r="BK13" s="227"/>
      <c r="BL13" s="227"/>
      <c r="BO13" s="180"/>
      <c r="BP13" s="227"/>
      <c r="BQ13" s="278"/>
      <c r="BR13" s="279"/>
      <c r="BS13" s="227"/>
      <c r="BT13" s="280"/>
      <c r="BX13" s="227"/>
      <c r="BY13" s="227"/>
      <c r="BZ13" s="180"/>
      <c r="CA13" s="180"/>
      <c r="CB13" s="180"/>
      <c r="CC13" s="180"/>
    </row>
    <row r="14" spans="1:81" x14ac:dyDescent="0.2">
      <c r="F14" s="274"/>
      <c r="G14" s="274"/>
      <c r="H14" s="178">
        <v>8</v>
      </c>
      <c r="I14" s="470">
        <f t="shared" si="0"/>
        <v>2.4E-2</v>
      </c>
      <c r="J14" s="225"/>
      <c r="K14" s="225"/>
      <c r="L14" s="225"/>
      <c r="M14" s="225"/>
      <c r="N14" s="275"/>
      <c r="O14" s="180"/>
      <c r="P14" s="225"/>
      <c r="Q14" s="456"/>
      <c r="S14" s="276"/>
      <c r="T14" s="276"/>
      <c r="U14" s="276"/>
      <c r="AJ14" s="456"/>
      <c r="AZ14" s="277"/>
      <c r="BJ14" s="227"/>
      <c r="BK14" s="227"/>
      <c r="BL14" s="227"/>
      <c r="BO14" s="180"/>
      <c r="BP14" s="227"/>
      <c r="BQ14" s="278"/>
      <c r="BR14" s="279"/>
      <c r="BS14" s="227"/>
      <c r="BT14" s="280"/>
      <c r="BX14" s="227"/>
      <c r="BY14" s="227"/>
      <c r="BZ14" s="180"/>
      <c r="CA14" s="180"/>
      <c r="CB14" s="180"/>
      <c r="CC14" s="180"/>
    </row>
    <row r="15" spans="1:81" x14ac:dyDescent="0.2">
      <c r="A15" s="289" t="s">
        <v>34</v>
      </c>
      <c r="B15" s="247"/>
      <c r="C15" s="247"/>
      <c r="D15" s="247"/>
      <c r="E15" s="248"/>
      <c r="F15" s="274"/>
      <c r="G15" s="274"/>
      <c r="H15" s="178">
        <v>9</v>
      </c>
      <c r="I15" s="470">
        <f t="shared" si="0"/>
        <v>2.7E-2</v>
      </c>
      <c r="J15" s="225"/>
      <c r="K15" s="225"/>
      <c r="L15" s="225"/>
      <c r="M15" s="225"/>
      <c r="N15" s="275"/>
      <c r="O15" s="180"/>
      <c r="P15" s="225"/>
      <c r="Q15" s="456"/>
      <c r="S15" s="276"/>
      <c r="T15" s="276"/>
      <c r="U15" s="276"/>
      <c r="AJ15" s="456"/>
      <c r="AZ15" s="277"/>
      <c r="BJ15" s="227"/>
      <c r="BK15" s="227"/>
      <c r="BL15" s="227"/>
      <c r="BO15" s="180"/>
      <c r="BP15" s="227"/>
      <c r="BQ15" s="278"/>
      <c r="BR15" s="279"/>
      <c r="BS15" s="227"/>
      <c r="BT15" s="280"/>
      <c r="BX15" s="227"/>
      <c r="BY15" s="227"/>
      <c r="BZ15" s="180"/>
      <c r="CA15" s="180"/>
      <c r="CB15" s="180"/>
      <c r="CC15" s="180"/>
    </row>
    <row r="16" spans="1:81" x14ac:dyDescent="0.2">
      <c r="A16" s="290" t="s">
        <v>26</v>
      </c>
      <c r="B16" s="270" t="s">
        <v>6</v>
      </c>
      <c r="C16" s="291" t="s">
        <v>33</v>
      </c>
      <c r="D16" s="292" t="s">
        <v>90</v>
      </c>
      <c r="E16" s="273" t="s">
        <v>41</v>
      </c>
      <c r="F16" s="274"/>
      <c r="G16" s="274"/>
      <c r="H16" s="178">
        <v>10</v>
      </c>
      <c r="I16" s="470">
        <f t="shared" si="0"/>
        <v>0.03</v>
      </c>
      <c r="J16" s="225"/>
      <c r="K16" s="225"/>
      <c r="L16" s="225"/>
      <c r="M16" s="225"/>
      <c r="N16" s="275"/>
      <c r="O16" s="180"/>
      <c r="P16" s="225"/>
      <c r="Q16" s="456"/>
      <c r="S16" s="276"/>
      <c r="T16" s="276"/>
      <c r="U16" s="276"/>
      <c r="AJ16" s="456"/>
      <c r="AZ16" s="277"/>
      <c r="BJ16" s="227"/>
      <c r="BK16" s="227"/>
      <c r="BL16" s="227"/>
      <c r="BO16" s="180"/>
      <c r="BP16" s="227"/>
      <c r="BQ16" s="278"/>
      <c r="BR16" s="279"/>
      <c r="BS16" s="227"/>
      <c r="BT16" s="280"/>
      <c r="BX16" s="227"/>
      <c r="BY16" s="227"/>
      <c r="BZ16" s="180"/>
      <c r="CA16" s="180"/>
      <c r="CB16" s="180"/>
      <c r="CC16" s="180"/>
    </row>
    <row r="17" spans="1:81" x14ac:dyDescent="0.2">
      <c r="A17" s="293" t="s">
        <v>247</v>
      </c>
      <c r="B17" s="294">
        <f>Vout/Vin/Fsw*1000000</f>
        <v>4166.666666666667</v>
      </c>
      <c r="C17" s="295" t="s">
        <v>248</v>
      </c>
      <c r="D17" s="296">
        <f>B17/1000000</f>
        <v>4.1666666666666666E-3</v>
      </c>
      <c r="E17" s="285" t="s">
        <v>249</v>
      </c>
      <c r="F17" s="274"/>
      <c r="G17" s="274"/>
      <c r="H17" s="178">
        <v>11</v>
      </c>
      <c r="I17" s="470">
        <f t="shared" si="0"/>
        <v>3.3000000000000002E-2</v>
      </c>
      <c r="J17" s="225"/>
      <c r="K17" s="225"/>
      <c r="L17" s="225"/>
      <c r="M17" s="225"/>
      <c r="N17" s="275"/>
      <c r="O17" s="180"/>
      <c r="P17" s="225"/>
      <c r="Q17" s="456"/>
      <c r="S17" s="276"/>
      <c r="T17" s="276"/>
      <c r="U17" s="276"/>
      <c r="AJ17" s="456"/>
      <c r="AZ17" s="277"/>
      <c r="BJ17" s="227"/>
      <c r="BK17" s="227"/>
      <c r="BL17" s="227"/>
      <c r="BO17" s="180"/>
      <c r="BP17" s="227"/>
      <c r="BQ17" s="278"/>
      <c r="BR17" s="279"/>
      <c r="BS17" s="227"/>
      <c r="BT17" s="280"/>
      <c r="BX17" s="227"/>
      <c r="BY17" s="227"/>
      <c r="BZ17" s="180"/>
      <c r="CA17" s="180"/>
      <c r="CB17" s="180"/>
      <c r="CC17" s="180"/>
    </row>
    <row r="18" spans="1:81" x14ac:dyDescent="0.2">
      <c r="A18" s="293" t="s">
        <v>250</v>
      </c>
      <c r="B18" s="294"/>
      <c r="C18" s="295" t="s">
        <v>248</v>
      </c>
      <c r="D18" s="297">
        <f>B18/1000000</f>
        <v>0</v>
      </c>
      <c r="E18" s="283" t="s">
        <v>251</v>
      </c>
      <c r="F18" s="274"/>
      <c r="G18" s="274"/>
      <c r="H18" s="178">
        <v>12</v>
      </c>
      <c r="I18" s="470">
        <f t="shared" si="0"/>
        <v>3.5999999999999997E-2</v>
      </c>
      <c r="J18" s="225"/>
      <c r="K18" s="225"/>
      <c r="L18" s="225"/>
      <c r="M18" s="225"/>
      <c r="N18" s="275"/>
      <c r="O18" s="180"/>
      <c r="P18" s="225"/>
      <c r="Q18" s="456"/>
      <c r="S18" s="276"/>
      <c r="T18" s="276"/>
      <c r="U18" s="276"/>
      <c r="AJ18" s="456"/>
      <c r="AZ18" s="277"/>
      <c r="BJ18" s="227"/>
      <c r="BK18" s="227"/>
      <c r="BL18" s="227"/>
      <c r="BO18" s="180"/>
      <c r="BP18" s="227"/>
      <c r="BQ18" s="278"/>
      <c r="BR18" s="279"/>
      <c r="BS18" s="227"/>
      <c r="BT18" s="280"/>
      <c r="BX18" s="227"/>
      <c r="BY18" s="227"/>
      <c r="BZ18" s="180"/>
      <c r="CA18" s="180"/>
      <c r="CB18" s="180"/>
      <c r="CC18" s="180"/>
    </row>
    <row r="19" spans="1:81" ht="15.75" x14ac:dyDescent="0.3">
      <c r="A19" s="287" t="s">
        <v>252</v>
      </c>
      <c r="B19" s="298">
        <f>(Vin-Vout-(Rdcr_pri+Rdson)*Iout)/L*OnTime*1000</f>
        <v>-323437.5</v>
      </c>
      <c r="C19" s="285" t="s">
        <v>30</v>
      </c>
      <c r="D19" s="198">
        <f>B19/1000</f>
        <v>-323.4375</v>
      </c>
      <c r="E19" s="283" t="s">
        <v>253</v>
      </c>
      <c r="F19" s="274"/>
      <c r="G19" s="274"/>
      <c r="H19" s="178">
        <v>13</v>
      </c>
      <c r="I19" s="470">
        <f t="shared" si="0"/>
        <v>3.9E-2</v>
      </c>
      <c r="J19" s="225"/>
      <c r="K19" s="225"/>
      <c r="L19" s="225"/>
      <c r="M19" s="225"/>
      <c r="N19" s="275"/>
      <c r="O19" s="180"/>
      <c r="P19" s="225"/>
      <c r="Q19" s="456"/>
      <c r="S19" s="276"/>
      <c r="T19" s="276"/>
      <c r="U19" s="276"/>
      <c r="AJ19" s="456"/>
      <c r="AZ19" s="277"/>
      <c r="BJ19" s="227"/>
      <c r="BK19" s="227"/>
      <c r="BL19" s="227"/>
      <c r="BO19" s="180"/>
      <c r="BP19" s="227"/>
      <c r="BQ19" s="278"/>
      <c r="BR19" s="279"/>
      <c r="BS19" s="227"/>
      <c r="BT19" s="280"/>
      <c r="BX19" s="227"/>
      <c r="BY19" s="227"/>
      <c r="BZ19" s="180"/>
      <c r="CA19" s="180"/>
      <c r="CB19" s="180"/>
      <c r="CC19" s="180"/>
    </row>
    <row r="20" spans="1:81" x14ac:dyDescent="0.2">
      <c r="A20" s="293" t="s">
        <v>254</v>
      </c>
      <c r="B20" s="299">
        <f>'Design Converter'!E13</f>
        <v>0.3</v>
      </c>
      <c r="C20" s="283" t="s">
        <v>2</v>
      </c>
      <c r="D20" s="300">
        <f>B20*1000</f>
        <v>300</v>
      </c>
      <c r="E20" s="285" t="s">
        <v>255</v>
      </c>
      <c r="F20" s="367"/>
      <c r="G20" s="274"/>
      <c r="H20" s="178">
        <v>14</v>
      </c>
      <c r="I20" s="470">
        <f t="shared" si="0"/>
        <v>4.2000000000000003E-2</v>
      </c>
      <c r="J20" s="225"/>
      <c r="K20" s="225"/>
      <c r="L20" s="225"/>
      <c r="M20" s="225"/>
      <c r="N20" s="275"/>
      <c r="O20" s="180"/>
      <c r="P20" s="225"/>
      <c r="Q20" s="456"/>
      <c r="S20" s="276"/>
      <c r="T20" s="276"/>
      <c r="U20" s="276"/>
      <c r="AJ20" s="456"/>
      <c r="AZ20" s="277"/>
      <c r="BJ20" s="227"/>
      <c r="BK20" s="227"/>
      <c r="BL20" s="227"/>
      <c r="BO20" s="180"/>
      <c r="BP20" s="227"/>
      <c r="BQ20" s="278"/>
      <c r="BR20" s="279"/>
      <c r="BS20" s="227"/>
      <c r="BT20" s="280"/>
      <c r="BX20" s="227"/>
      <c r="BY20" s="227"/>
      <c r="BZ20" s="180"/>
      <c r="CA20" s="180"/>
      <c r="CB20" s="180"/>
      <c r="CC20" s="180"/>
    </row>
    <row r="21" spans="1:81" x14ac:dyDescent="0.2">
      <c r="A21" s="293" t="s">
        <v>423</v>
      </c>
      <c r="B21" s="298">
        <v>350</v>
      </c>
      <c r="C21" s="285" t="s">
        <v>2</v>
      </c>
      <c r="D21" s="300">
        <f>B21*1000</f>
        <v>350000</v>
      </c>
      <c r="E21" s="285" t="s">
        <v>424</v>
      </c>
      <c r="F21" s="274"/>
      <c r="G21" s="274"/>
      <c r="H21" s="178">
        <v>15</v>
      </c>
      <c r="I21" s="470">
        <f t="shared" si="0"/>
        <v>4.4999999999999998E-2</v>
      </c>
      <c r="J21" s="225"/>
      <c r="K21" s="225"/>
      <c r="L21" s="225"/>
      <c r="M21" s="225"/>
      <c r="N21" s="275"/>
      <c r="O21" s="180"/>
      <c r="P21" s="225"/>
      <c r="Q21" s="456"/>
      <c r="S21" s="276"/>
      <c r="T21" s="276"/>
      <c r="U21" s="276"/>
      <c r="AJ21" s="456"/>
      <c r="AZ21" s="277"/>
      <c r="BJ21" s="227"/>
      <c r="BK21" s="227"/>
      <c r="BL21" s="227"/>
      <c r="BO21" s="180"/>
      <c r="BP21" s="227"/>
      <c r="BQ21" s="278"/>
      <c r="BR21" s="279"/>
      <c r="BS21" s="227"/>
      <c r="BT21" s="280"/>
      <c r="BX21" s="227"/>
      <c r="BY21" s="227"/>
      <c r="BZ21" s="180"/>
      <c r="CA21" s="180"/>
      <c r="CB21" s="180"/>
      <c r="CC21" s="180"/>
    </row>
    <row r="22" spans="1:81" x14ac:dyDescent="0.2">
      <c r="A22" s="301" t="s">
        <v>38</v>
      </c>
      <c r="B22" s="302">
        <v>20</v>
      </c>
      <c r="C22" s="283" t="s">
        <v>32</v>
      </c>
      <c r="D22" s="303">
        <f>B22/1000000000</f>
        <v>2E-8</v>
      </c>
      <c r="E22" s="196" t="s">
        <v>256</v>
      </c>
      <c r="F22" s="274"/>
      <c r="G22" s="274"/>
      <c r="H22" s="178">
        <v>16</v>
      </c>
      <c r="I22" s="470">
        <f t="shared" si="0"/>
        <v>4.8000000000000001E-2</v>
      </c>
      <c r="J22" s="225"/>
      <c r="K22" s="225"/>
      <c r="L22" s="225"/>
      <c r="M22" s="225"/>
      <c r="N22" s="275"/>
      <c r="O22" s="180"/>
      <c r="P22" s="225"/>
      <c r="Q22" s="456"/>
      <c r="S22" s="276"/>
      <c r="T22" s="276"/>
      <c r="U22" s="276"/>
      <c r="AJ22" s="456"/>
      <c r="AZ22" s="277"/>
      <c r="BJ22" s="227"/>
      <c r="BK22" s="227"/>
      <c r="BL22" s="227"/>
      <c r="BO22" s="180"/>
      <c r="BP22" s="227"/>
      <c r="BQ22" s="278"/>
      <c r="BR22" s="279"/>
      <c r="BS22" s="227"/>
      <c r="BT22" s="280"/>
      <c r="BX22" s="227"/>
      <c r="BY22" s="227"/>
      <c r="BZ22" s="180"/>
      <c r="CA22" s="180"/>
      <c r="CB22" s="180"/>
      <c r="CC22" s="180"/>
    </row>
    <row r="23" spans="1:81" x14ac:dyDescent="0.2">
      <c r="A23" s="301" t="s">
        <v>39</v>
      </c>
      <c r="B23" s="302">
        <v>20</v>
      </c>
      <c r="C23" s="283" t="s">
        <v>32</v>
      </c>
      <c r="D23" s="303">
        <f>B23/1000000000</f>
        <v>2E-8</v>
      </c>
      <c r="E23" s="196" t="s">
        <v>257</v>
      </c>
      <c r="F23" s="274"/>
      <c r="G23" s="274"/>
      <c r="H23" s="178">
        <v>17</v>
      </c>
      <c r="I23" s="470">
        <f t="shared" si="0"/>
        <v>5.1000000000000004E-2</v>
      </c>
      <c r="J23" s="225"/>
      <c r="K23" s="225"/>
      <c r="L23" s="225"/>
      <c r="M23" s="225"/>
      <c r="N23" s="275"/>
      <c r="O23" s="180"/>
      <c r="P23" s="225"/>
      <c r="Q23" s="456"/>
      <c r="S23" s="276"/>
      <c r="T23" s="276"/>
      <c r="U23" s="276"/>
      <c r="AJ23" s="456"/>
      <c r="AZ23" s="277"/>
      <c r="BJ23" s="227"/>
      <c r="BK23" s="227"/>
      <c r="BL23" s="227"/>
      <c r="BO23" s="180"/>
      <c r="BP23" s="227"/>
      <c r="BQ23" s="278"/>
      <c r="BR23" s="279"/>
      <c r="BS23" s="227"/>
      <c r="BT23" s="280"/>
      <c r="BX23" s="227"/>
      <c r="BY23" s="227"/>
      <c r="BZ23" s="180"/>
      <c r="CA23" s="180"/>
      <c r="CB23" s="180"/>
      <c r="CC23" s="180"/>
    </row>
    <row r="24" spans="1:81" x14ac:dyDescent="0.2">
      <c r="A24" s="248"/>
      <c r="B24" s="248"/>
      <c r="C24" s="248"/>
      <c r="D24" s="248"/>
      <c r="E24" s="248"/>
      <c r="F24" s="274"/>
      <c r="G24" s="274"/>
      <c r="H24" s="178">
        <v>18</v>
      </c>
      <c r="I24" s="470">
        <f t="shared" si="0"/>
        <v>5.3999999999999999E-2</v>
      </c>
      <c r="J24" s="225"/>
      <c r="K24" s="225"/>
      <c r="L24" s="225"/>
      <c r="M24" s="225"/>
      <c r="N24" s="275"/>
      <c r="O24" s="180"/>
      <c r="P24" s="225"/>
      <c r="Q24" s="456"/>
      <c r="S24" s="276"/>
      <c r="T24" s="276"/>
      <c r="U24" s="276"/>
      <c r="AJ24" s="456"/>
      <c r="AZ24" s="277"/>
      <c r="BJ24" s="227"/>
      <c r="BK24" s="227"/>
      <c r="BL24" s="227"/>
      <c r="BO24" s="180"/>
      <c r="BP24" s="227"/>
      <c r="BQ24" s="278"/>
      <c r="BR24" s="279"/>
      <c r="BS24" s="227"/>
      <c r="BT24" s="280"/>
      <c r="BX24" s="227"/>
      <c r="BY24" s="227"/>
      <c r="BZ24" s="180"/>
      <c r="CA24" s="180"/>
      <c r="CB24" s="180"/>
      <c r="CC24" s="180"/>
    </row>
    <row r="25" spans="1:81" x14ac:dyDescent="0.2">
      <c r="A25" s="290" t="s">
        <v>29</v>
      </c>
      <c r="B25" s="271" t="s">
        <v>43</v>
      </c>
      <c r="C25" s="291" t="s">
        <v>33</v>
      </c>
      <c r="D25" s="292" t="s">
        <v>90</v>
      </c>
      <c r="E25" s="273" t="s">
        <v>41</v>
      </c>
      <c r="F25" s="274"/>
      <c r="G25" s="274"/>
      <c r="H25" s="178">
        <v>19</v>
      </c>
      <c r="I25" s="470">
        <f t="shared" si="0"/>
        <v>5.6999999999999995E-2</v>
      </c>
      <c r="J25" s="225"/>
      <c r="K25" s="225"/>
      <c r="L25" s="225"/>
      <c r="M25" s="225"/>
      <c r="N25" s="275"/>
      <c r="O25" s="180"/>
      <c r="P25" s="225"/>
      <c r="Q25" s="456"/>
      <c r="S25" s="276"/>
      <c r="T25" s="276"/>
      <c r="U25" s="276"/>
      <c r="AJ25" s="456"/>
      <c r="AZ25" s="277"/>
      <c r="BJ25" s="227"/>
      <c r="BK25" s="227"/>
      <c r="BL25" s="227"/>
      <c r="BO25" s="180"/>
      <c r="BP25" s="227"/>
      <c r="BQ25" s="278"/>
      <c r="BR25" s="279"/>
      <c r="BS25" s="227"/>
      <c r="BT25" s="280"/>
      <c r="BX25" s="227"/>
      <c r="BY25" s="227"/>
      <c r="BZ25" s="180"/>
      <c r="CA25" s="180"/>
      <c r="CB25" s="180"/>
      <c r="CC25" s="180"/>
    </row>
    <row r="26" spans="1:81" ht="13.5" thickBot="1" x14ac:dyDescent="0.25">
      <c r="A26" s="304" t="s">
        <v>27</v>
      </c>
      <c r="B26" s="285">
        <f>'Design Converter'!L7</f>
        <v>40</v>
      </c>
      <c r="C26" s="295" t="s">
        <v>96</v>
      </c>
      <c r="D26" s="202">
        <f>B26/1000000</f>
        <v>4.0000000000000003E-5</v>
      </c>
      <c r="E26" s="285" t="s">
        <v>258</v>
      </c>
      <c r="F26" s="305"/>
      <c r="G26" s="274"/>
      <c r="H26" s="178">
        <v>20</v>
      </c>
      <c r="I26" s="470">
        <f t="shared" si="0"/>
        <v>0.06</v>
      </c>
      <c r="J26" s="225"/>
      <c r="K26" s="225"/>
      <c r="L26" s="225"/>
      <c r="M26" s="225"/>
      <c r="N26" s="275"/>
      <c r="O26" s="180"/>
      <c r="P26" s="225"/>
      <c r="Q26" s="456"/>
      <c r="S26" s="276"/>
      <c r="T26" s="276"/>
      <c r="U26" s="276"/>
      <c r="AJ26" s="456"/>
      <c r="AZ26" s="277"/>
      <c r="BJ26" s="227"/>
      <c r="BK26" s="227"/>
      <c r="BL26" s="227"/>
      <c r="BO26" s="180"/>
      <c r="BP26" s="227"/>
      <c r="BQ26" s="278"/>
      <c r="BR26" s="279"/>
      <c r="BS26" s="227"/>
      <c r="BT26" s="280"/>
      <c r="BX26" s="227"/>
      <c r="BY26" s="227"/>
      <c r="BZ26" s="180"/>
      <c r="CA26" s="180"/>
      <c r="CB26" s="180"/>
      <c r="CC26" s="180"/>
    </row>
    <row r="27" spans="1:81" ht="13.5" thickBot="1" x14ac:dyDescent="0.25">
      <c r="A27" s="306" t="s">
        <v>398</v>
      </c>
      <c r="B27" s="307">
        <f>'Design Converter'!L8</f>
        <v>0</v>
      </c>
      <c r="C27" s="308" t="s">
        <v>259</v>
      </c>
      <c r="D27" s="202">
        <f>B27/1000</f>
        <v>0</v>
      </c>
      <c r="E27" s="285" t="s">
        <v>493</v>
      </c>
      <c r="F27" s="274"/>
      <c r="G27" s="274"/>
      <c r="H27" s="178">
        <v>21</v>
      </c>
      <c r="I27" s="470">
        <f t="shared" si="0"/>
        <v>6.3E-2</v>
      </c>
      <c r="J27" s="225"/>
      <c r="K27" s="225"/>
      <c r="L27" s="225"/>
      <c r="M27" s="225"/>
      <c r="N27" s="275"/>
      <c r="O27" s="180"/>
      <c r="P27" s="225"/>
      <c r="Q27" s="456"/>
      <c r="S27" s="276"/>
      <c r="T27" s="276"/>
      <c r="U27" s="276"/>
      <c r="AJ27" s="456"/>
      <c r="AZ27" s="277"/>
      <c r="BJ27" s="227"/>
      <c r="BK27" s="227"/>
      <c r="BL27" s="227"/>
      <c r="BO27" s="180"/>
      <c r="BP27" s="227"/>
      <c r="BQ27" s="278"/>
      <c r="BR27" s="279"/>
      <c r="BS27" s="227"/>
      <c r="BT27" s="280"/>
      <c r="BX27" s="227"/>
      <c r="BY27" s="227"/>
      <c r="BZ27" s="180"/>
      <c r="CA27" s="180"/>
      <c r="CB27" s="180"/>
      <c r="CC27" s="180"/>
    </row>
    <row r="28" spans="1:81" ht="13.5" thickBot="1" x14ac:dyDescent="0.25">
      <c r="A28" s="306" t="s">
        <v>461</v>
      </c>
      <c r="B28" s="307">
        <f>'Design Converter'!L9</f>
        <v>0</v>
      </c>
      <c r="C28" s="308" t="s">
        <v>259</v>
      </c>
      <c r="D28" s="202">
        <f>B28/1000</f>
        <v>0</v>
      </c>
      <c r="E28" s="285" t="s">
        <v>677</v>
      </c>
      <c r="F28" s="274"/>
      <c r="G28" s="274"/>
      <c r="H28" s="178">
        <v>22</v>
      </c>
      <c r="I28" s="470">
        <f t="shared" si="0"/>
        <v>6.6000000000000003E-2</v>
      </c>
      <c r="J28" s="225"/>
      <c r="K28" s="225"/>
      <c r="L28" s="225"/>
      <c r="M28" s="225"/>
      <c r="N28" s="275"/>
      <c r="O28" s="180"/>
      <c r="P28" s="225"/>
      <c r="Q28" s="456"/>
      <c r="S28" s="276"/>
      <c r="T28" s="276"/>
      <c r="U28" s="276"/>
      <c r="AJ28" s="456"/>
      <c r="AZ28" s="277"/>
      <c r="BJ28" s="227"/>
      <c r="BK28" s="227"/>
      <c r="BL28" s="227"/>
      <c r="BO28" s="180"/>
      <c r="BP28" s="227"/>
      <c r="BQ28" s="278"/>
      <c r="BR28" s="279"/>
      <c r="BS28" s="227"/>
      <c r="BT28" s="280"/>
      <c r="BX28" s="227"/>
      <c r="BY28" s="227"/>
      <c r="BZ28" s="180"/>
      <c r="CA28" s="180"/>
      <c r="CB28" s="180"/>
      <c r="CC28" s="180"/>
    </row>
    <row r="29" spans="1:81" ht="13.5" thickBot="1" x14ac:dyDescent="0.25">
      <c r="A29" s="309" t="s">
        <v>260</v>
      </c>
      <c r="B29" s="310">
        <v>4.9999999999999998E-8</v>
      </c>
      <c r="C29" s="308"/>
      <c r="D29" s="311">
        <f>B29</f>
        <v>4.9999999999999998E-8</v>
      </c>
      <c r="E29" s="312" t="s">
        <v>492</v>
      </c>
      <c r="F29" s="274"/>
      <c r="G29" s="274"/>
      <c r="H29" s="178">
        <v>23</v>
      </c>
      <c r="I29" s="470">
        <f t="shared" si="0"/>
        <v>6.9000000000000006E-2</v>
      </c>
      <c r="J29" s="225"/>
      <c r="K29" s="225"/>
      <c r="L29" s="225"/>
      <c r="M29" s="225"/>
      <c r="N29" s="275"/>
      <c r="O29" s="180"/>
      <c r="P29" s="225"/>
      <c r="Q29" s="456"/>
      <c r="S29" s="276"/>
      <c r="T29" s="276"/>
      <c r="U29" s="276"/>
      <c r="AJ29" s="456"/>
      <c r="AZ29" s="277"/>
      <c r="BJ29" s="227"/>
      <c r="BK29" s="227"/>
      <c r="BL29" s="227"/>
      <c r="BO29" s="180"/>
      <c r="BP29" s="227"/>
      <c r="BQ29" s="278"/>
      <c r="BR29" s="279"/>
      <c r="BS29" s="227"/>
      <c r="BT29" s="280"/>
      <c r="BX29" s="227"/>
      <c r="BY29" s="227"/>
      <c r="BZ29" s="180"/>
      <c r="CA29" s="180"/>
      <c r="CB29" s="180"/>
      <c r="CC29" s="180"/>
    </row>
    <row r="30" spans="1:81" ht="13.5" thickBot="1" x14ac:dyDescent="0.25">
      <c r="A30" s="313" t="s">
        <v>28</v>
      </c>
      <c r="B30" s="307">
        <f>'Design Converter'!E17</f>
        <v>47</v>
      </c>
      <c r="C30" s="314" t="s">
        <v>97</v>
      </c>
      <c r="D30" s="315">
        <f>B30/1000000</f>
        <v>4.6999999999999997E-5</v>
      </c>
      <c r="E30" s="316" t="s">
        <v>60</v>
      </c>
      <c r="F30" s="274"/>
      <c r="G30" s="274"/>
      <c r="H30" s="178">
        <v>24</v>
      </c>
      <c r="I30" s="470">
        <f t="shared" si="0"/>
        <v>7.1999999999999995E-2</v>
      </c>
      <c r="J30" s="225"/>
      <c r="K30" s="225"/>
      <c r="L30" s="225"/>
      <c r="M30" s="225"/>
      <c r="N30" s="275"/>
      <c r="O30" s="180"/>
      <c r="P30" s="225"/>
      <c r="Q30" s="456"/>
      <c r="S30" s="276"/>
      <c r="T30" s="276"/>
      <c r="U30" s="276"/>
      <c r="AJ30" s="456"/>
      <c r="AZ30" s="277"/>
      <c r="BJ30" s="227"/>
      <c r="BK30" s="227"/>
      <c r="BL30" s="227"/>
      <c r="BO30" s="180"/>
      <c r="BP30" s="227"/>
      <c r="BQ30" s="278"/>
      <c r="BR30" s="279"/>
      <c r="BS30" s="227"/>
      <c r="BT30" s="280"/>
      <c r="BX30" s="227"/>
      <c r="BY30" s="227"/>
      <c r="BZ30" s="180"/>
      <c r="CA30" s="180"/>
      <c r="CB30" s="180"/>
      <c r="CC30" s="180"/>
    </row>
    <row r="31" spans="1:81" ht="13.5" thickBot="1" x14ac:dyDescent="0.25">
      <c r="A31" s="309" t="s">
        <v>261</v>
      </c>
      <c r="B31" s="307">
        <f>'Design Converter'!E18</f>
        <v>5</v>
      </c>
      <c r="C31" s="308" t="s">
        <v>259</v>
      </c>
      <c r="D31" s="202">
        <f>B31/1000</f>
        <v>5.0000000000000001E-3</v>
      </c>
      <c r="E31" s="285" t="s">
        <v>262</v>
      </c>
      <c r="F31" s="274"/>
      <c r="G31" s="274"/>
      <c r="H31" s="178">
        <v>25</v>
      </c>
      <c r="I31" s="470">
        <f t="shared" si="0"/>
        <v>7.4999999999999997E-2</v>
      </c>
      <c r="J31" s="225"/>
      <c r="K31" s="225"/>
      <c r="L31" s="225"/>
      <c r="M31" s="225"/>
      <c r="N31" s="275"/>
      <c r="O31" s="180"/>
      <c r="P31" s="225"/>
      <c r="Q31" s="456"/>
      <c r="S31" s="276"/>
      <c r="T31" s="276"/>
      <c r="U31" s="276"/>
      <c r="AJ31" s="456"/>
      <c r="AZ31" s="277"/>
      <c r="BJ31" s="227"/>
      <c r="BK31" s="227"/>
      <c r="BL31" s="227"/>
      <c r="BO31" s="180"/>
      <c r="BP31" s="227"/>
      <c r="BQ31" s="278"/>
      <c r="BR31" s="279"/>
      <c r="BS31" s="227"/>
      <c r="BT31" s="280"/>
      <c r="BX31" s="227"/>
      <c r="BY31" s="227"/>
      <c r="BZ31" s="180"/>
      <c r="CA31" s="180"/>
      <c r="CB31" s="180"/>
      <c r="CC31" s="180"/>
    </row>
    <row r="32" spans="1:81" ht="13.5" thickBot="1" x14ac:dyDescent="0.25">
      <c r="A32" s="304" t="s">
        <v>14</v>
      </c>
      <c r="B32" s="366">
        <f>'Design Converter'!E21</f>
        <v>47</v>
      </c>
      <c r="C32" s="295" t="s">
        <v>97</v>
      </c>
      <c r="D32" s="296">
        <f>B32/1000000</f>
        <v>4.6999999999999997E-5</v>
      </c>
      <c r="E32" s="285" t="s">
        <v>263</v>
      </c>
      <c r="F32" s="274"/>
      <c r="G32" s="274"/>
      <c r="H32" s="178">
        <v>26</v>
      </c>
      <c r="I32" s="470">
        <f t="shared" si="0"/>
        <v>7.8E-2</v>
      </c>
      <c r="J32" s="225"/>
      <c r="K32" s="225"/>
      <c r="L32" s="225"/>
      <c r="M32" s="225"/>
      <c r="N32" s="275"/>
      <c r="O32" s="180"/>
      <c r="P32" s="225"/>
      <c r="Q32" s="456"/>
      <c r="S32" s="276"/>
      <c r="T32" s="276"/>
      <c r="U32" s="276"/>
      <c r="AJ32" s="456"/>
      <c r="AZ32" s="277"/>
      <c r="BJ32" s="227"/>
      <c r="BK32" s="227"/>
      <c r="BL32" s="227"/>
      <c r="BO32" s="180"/>
      <c r="BP32" s="227"/>
      <c r="BQ32" s="278"/>
      <c r="BR32" s="279"/>
      <c r="BS32" s="227"/>
      <c r="BT32" s="280"/>
      <c r="BX32" s="227"/>
      <c r="BY32" s="227"/>
      <c r="BZ32" s="180"/>
      <c r="CA32" s="180"/>
      <c r="CB32" s="180"/>
      <c r="CC32" s="180"/>
    </row>
    <row r="33" spans="1:81" x14ac:dyDescent="0.2">
      <c r="A33" s="309" t="s">
        <v>264</v>
      </c>
      <c r="B33" s="366">
        <f>'Design Converter'!E22</f>
        <v>3</v>
      </c>
      <c r="C33" s="308" t="s">
        <v>259</v>
      </c>
      <c r="D33" s="202">
        <f>B33/1000</f>
        <v>3.0000000000000001E-3</v>
      </c>
      <c r="E33" s="285" t="s">
        <v>265</v>
      </c>
      <c r="F33" s="274"/>
      <c r="G33" s="274"/>
      <c r="H33" s="178">
        <v>27</v>
      </c>
      <c r="I33" s="470">
        <f t="shared" si="0"/>
        <v>8.1000000000000003E-2</v>
      </c>
      <c r="J33" s="225"/>
      <c r="K33" s="225"/>
      <c r="L33" s="225"/>
      <c r="M33" s="225"/>
      <c r="N33" s="275"/>
      <c r="O33" s="180"/>
      <c r="P33" s="225"/>
      <c r="Q33" s="456"/>
      <c r="S33" s="276"/>
      <c r="T33" s="276"/>
      <c r="U33" s="276"/>
      <c r="AJ33" s="456"/>
      <c r="AZ33" s="277"/>
      <c r="BJ33" s="227"/>
      <c r="BK33" s="227"/>
      <c r="BL33" s="227"/>
      <c r="BO33" s="180"/>
      <c r="BP33" s="227"/>
      <c r="BQ33" s="278"/>
      <c r="BR33" s="279"/>
      <c r="BS33" s="227"/>
      <c r="BT33" s="280"/>
      <c r="BX33" s="227"/>
      <c r="BY33" s="227"/>
      <c r="BZ33" s="180"/>
      <c r="CA33" s="180"/>
      <c r="CB33" s="180"/>
      <c r="CC33" s="180"/>
    </row>
    <row r="34" spans="1:81" x14ac:dyDescent="0.2">
      <c r="A34" s="317" t="s">
        <v>407</v>
      </c>
      <c r="B34" s="271"/>
      <c r="C34" s="317" t="s">
        <v>33</v>
      </c>
      <c r="D34" s="318" t="s">
        <v>90</v>
      </c>
      <c r="E34" s="319" t="s">
        <v>41</v>
      </c>
      <c r="F34" s="274"/>
      <c r="G34" s="274"/>
      <c r="H34" s="178">
        <v>28</v>
      </c>
      <c r="I34" s="470">
        <f t="shared" si="0"/>
        <v>8.4000000000000005E-2</v>
      </c>
      <c r="J34" s="225"/>
      <c r="K34" s="225"/>
      <c r="L34" s="225"/>
      <c r="M34" s="225"/>
      <c r="N34" s="275"/>
      <c r="O34" s="180"/>
      <c r="P34" s="225"/>
      <c r="Q34" s="456"/>
      <c r="S34" s="276"/>
      <c r="T34" s="276"/>
      <c r="U34" s="276"/>
      <c r="AJ34" s="456"/>
      <c r="AZ34" s="277"/>
      <c r="BJ34" s="227"/>
      <c r="BK34" s="227"/>
      <c r="BL34" s="227"/>
      <c r="BO34" s="180"/>
      <c r="BP34" s="227"/>
      <c r="BQ34" s="278"/>
      <c r="BR34" s="279"/>
      <c r="BS34" s="227"/>
      <c r="BT34" s="280"/>
      <c r="BX34" s="227"/>
      <c r="BY34" s="227"/>
      <c r="BZ34" s="180"/>
      <c r="CA34" s="180"/>
      <c r="CB34" s="180"/>
      <c r="CC34" s="180"/>
    </row>
    <row r="35" spans="1:81" x14ac:dyDescent="0.2">
      <c r="A35" s="306" t="s">
        <v>412</v>
      </c>
      <c r="B35" s="320">
        <v>1.45</v>
      </c>
      <c r="C35" s="295" t="s">
        <v>1</v>
      </c>
      <c r="D35" s="277">
        <f>B35</f>
        <v>1.45</v>
      </c>
      <c r="E35" s="196" t="s">
        <v>411</v>
      </c>
      <c r="F35" s="274"/>
      <c r="G35" s="274"/>
      <c r="H35" s="178">
        <v>29</v>
      </c>
      <c r="I35" s="470">
        <f t="shared" si="0"/>
        <v>8.6999999999999994E-2</v>
      </c>
      <c r="J35" s="225"/>
      <c r="K35" s="225"/>
      <c r="L35" s="225"/>
      <c r="M35" s="225"/>
      <c r="N35" s="275"/>
      <c r="O35" s="180"/>
      <c r="P35" s="225"/>
      <c r="Q35" s="456"/>
      <c r="S35" s="276"/>
      <c r="T35" s="276"/>
      <c r="U35" s="276"/>
      <c r="AJ35" s="456"/>
      <c r="AZ35" s="277"/>
      <c r="BJ35" s="227"/>
      <c r="BK35" s="227"/>
      <c r="BL35" s="227"/>
      <c r="BO35" s="180"/>
      <c r="BP35" s="227"/>
      <c r="BQ35" s="278"/>
      <c r="BR35" s="279"/>
      <c r="BS35" s="227"/>
      <c r="BT35" s="280"/>
      <c r="BX35" s="227"/>
      <c r="BY35" s="227"/>
      <c r="BZ35" s="180"/>
      <c r="CA35" s="180"/>
      <c r="CB35" s="180"/>
      <c r="CC35" s="180"/>
    </row>
    <row r="36" spans="1:81" ht="13.5" thickBot="1" x14ac:dyDescent="0.25">
      <c r="A36" s="306" t="s">
        <v>420</v>
      </c>
      <c r="B36" s="320">
        <f>B35/5</f>
        <v>0.28999999999999998</v>
      </c>
      <c r="C36" s="295" t="s">
        <v>1</v>
      </c>
      <c r="D36" s="277">
        <f>B36</f>
        <v>0.28999999999999998</v>
      </c>
      <c r="E36" s="196" t="s">
        <v>421</v>
      </c>
      <c r="F36" s="274"/>
      <c r="G36" s="274"/>
      <c r="H36" s="178">
        <v>30</v>
      </c>
      <c r="I36" s="470">
        <f t="shared" si="0"/>
        <v>0.09</v>
      </c>
      <c r="J36" s="225"/>
      <c r="K36" s="225"/>
      <c r="L36" s="225"/>
      <c r="M36" s="225"/>
      <c r="N36" s="275"/>
      <c r="O36" s="180"/>
      <c r="P36" s="225"/>
      <c r="Q36" s="456"/>
      <c r="S36" s="276"/>
      <c r="T36" s="276"/>
      <c r="U36" s="276"/>
      <c r="AJ36" s="456"/>
      <c r="AZ36" s="277"/>
      <c r="BJ36" s="227"/>
      <c r="BK36" s="227"/>
      <c r="BL36" s="227"/>
      <c r="BO36" s="180"/>
      <c r="BP36" s="227"/>
      <c r="BQ36" s="278"/>
      <c r="BR36" s="279"/>
      <c r="BS36" s="227"/>
      <c r="BT36" s="280"/>
      <c r="BX36" s="227"/>
      <c r="BY36" s="227"/>
      <c r="BZ36" s="180"/>
      <c r="CA36" s="180"/>
      <c r="CB36" s="180"/>
      <c r="CC36" s="180"/>
    </row>
    <row r="37" spans="1:81" ht="13.5" thickBot="1" x14ac:dyDescent="0.25">
      <c r="A37" s="321" t="s">
        <v>47</v>
      </c>
      <c r="B37" s="546">
        <v>1</v>
      </c>
      <c r="C37" s="295"/>
      <c r="D37" s="277">
        <f>B37</f>
        <v>1</v>
      </c>
      <c r="E37" s="196" t="s">
        <v>422</v>
      </c>
      <c r="F37" s="274"/>
      <c r="G37" s="274"/>
      <c r="H37" s="178">
        <v>31</v>
      </c>
      <c r="I37" s="470">
        <f t="shared" si="0"/>
        <v>9.2999999999999999E-2</v>
      </c>
      <c r="J37" s="225"/>
      <c r="K37" s="225"/>
      <c r="L37" s="225"/>
      <c r="M37" s="225"/>
      <c r="N37" s="275"/>
      <c r="O37" s="180"/>
      <c r="P37" s="225"/>
      <c r="Q37" s="456"/>
      <c r="S37" s="276"/>
      <c r="T37" s="276"/>
      <c r="U37" s="276"/>
      <c r="AJ37" s="456"/>
      <c r="AZ37" s="277"/>
      <c r="BJ37" s="227"/>
      <c r="BK37" s="227"/>
      <c r="BL37" s="227"/>
      <c r="BO37" s="180"/>
      <c r="BP37" s="227"/>
      <c r="BQ37" s="278"/>
      <c r="BR37" s="279"/>
      <c r="BS37" s="227"/>
      <c r="BT37" s="280"/>
      <c r="BX37" s="227"/>
      <c r="BY37" s="227"/>
      <c r="BZ37" s="180"/>
      <c r="CA37" s="180"/>
      <c r="CB37" s="180"/>
      <c r="CC37" s="180"/>
    </row>
    <row r="38" spans="1:81" x14ac:dyDescent="0.2">
      <c r="A38" s="306" t="s">
        <v>24</v>
      </c>
      <c r="B38" s="322">
        <v>290</v>
      </c>
      <c r="C38" s="295" t="s">
        <v>266</v>
      </c>
      <c r="D38" s="297">
        <f>B38/1000000</f>
        <v>2.9E-4</v>
      </c>
      <c r="E38" s="285" t="s">
        <v>494</v>
      </c>
      <c r="H38" s="178">
        <v>32</v>
      </c>
      <c r="I38" s="470">
        <f t="shared" ref="I38:I69" si="24">IF(PLOT_TYPE=1, H38/100*Iout_max, min_I*EXP(H38*rr/100))</f>
        <v>9.6000000000000002E-2</v>
      </c>
      <c r="J38" s="225"/>
      <c r="K38" s="225"/>
      <c r="L38" s="225"/>
      <c r="M38" s="225"/>
      <c r="N38" s="275"/>
      <c r="O38" s="180"/>
      <c r="P38" s="225"/>
      <c r="Q38" s="456"/>
      <c r="S38" s="276"/>
      <c r="T38" s="276"/>
      <c r="U38" s="276"/>
      <c r="AJ38" s="456"/>
      <c r="AZ38" s="277"/>
      <c r="BJ38" s="227"/>
      <c r="BK38" s="227"/>
      <c r="BL38" s="227"/>
      <c r="BO38" s="180"/>
      <c r="BP38" s="227"/>
      <c r="BQ38" s="278"/>
      <c r="BR38" s="279"/>
      <c r="BS38" s="227"/>
      <c r="BT38" s="280"/>
      <c r="BX38" s="227"/>
      <c r="BY38" s="227"/>
      <c r="BZ38" s="180"/>
      <c r="CA38" s="180"/>
      <c r="CB38" s="180"/>
      <c r="CC38" s="180"/>
    </row>
    <row r="39" spans="1:81" ht="13.5" thickBot="1" x14ac:dyDescent="0.25">
      <c r="A39" s="317" t="s">
        <v>404</v>
      </c>
      <c r="B39" s="323"/>
      <c r="C39" s="317" t="s">
        <v>33</v>
      </c>
      <c r="D39" s="318" t="s">
        <v>90</v>
      </c>
      <c r="E39" s="324" t="s">
        <v>41</v>
      </c>
      <c r="H39" s="178">
        <v>33</v>
      </c>
      <c r="I39" s="470">
        <f t="shared" si="24"/>
        <v>9.9000000000000005E-2</v>
      </c>
      <c r="J39" s="225"/>
      <c r="K39" s="225"/>
      <c r="L39" s="225"/>
      <c r="M39" s="225"/>
      <c r="N39" s="275"/>
      <c r="O39" s="180"/>
      <c r="P39" s="225"/>
      <c r="Q39" s="456"/>
      <c r="S39" s="276"/>
      <c r="T39" s="276"/>
      <c r="U39" s="276"/>
      <c r="AJ39" s="456"/>
      <c r="AZ39" s="277"/>
      <c r="BJ39" s="227"/>
      <c r="BK39" s="227"/>
      <c r="BL39" s="227"/>
      <c r="BO39" s="180"/>
      <c r="BP39" s="227"/>
      <c r="BQ39" s="278"/>
      <c r="BR39" s="279"/>
      <c r="BS39" s="227"/>
      <c r="BT39" s="280"/>
      <c r="BX39" s="227"/>
      <c r="BY39" s="227"/>
      <c r="BZ39" s="180"/>
      <c r="CA39" s="180"/>
      <c r="CB39" s="180"/>
      <c r="CC39" s="180"/>
    </row>
    <row r="40" spans="1:81" ht="13.5" thickBot="1" x14ac:dyDescent="0.25">
      <c r="A40" s="325" t="s">
        <v>405</v>
      </c>
      <c r="B40" s="326">
        <v>350</v>
      </c>
      <c r="C40" s="286" t="s">
        <v>259</v>
      </c>
      <c r="D40" s="179">
        <f>B40/1000</f>
        <v>0.35</v>
      </c>
      <c r="E40" s="285" t="s">
        <v>409</v>
      </c>
      <c r="H40" s="178">
        <v>34</v>
      </c>
      <c r="I40" s="470">
        <f t="shared" si="24"/>
        <v>0.10200000000000001</v>
      </c>
      <c r="J40" s="225"/>
      <c r="K40" s="225"/>
      <c r="L40" s="225"/>
      <c r="M40" s="225"/>
      <c r="N40" s="275"/>
      <c r="O40" s="180"/>
      <c r="P40" s="225"/>
      <c r="Q40" s="456"/>
      <c r="S40" s="276"/>
      <c r="T40" s="276"/>
      <c r="U40" s="276"/>
      <c r="AJ40" s="456"/>
      <c r="AZ40" s="277"/>
      <c r="BJ40" s="227"/>
      <c r="BK40" s="227"/>
      <c r="BL40" s="227"/>
      <c r="BO40" s="180"/>
      <c r="BP40" s="227"/>
      <c r="BQ40" s="278"/>
      <c r="BR40" s="279"/>
      <c r="BS40" s="227"/>
      <c r="BT40" s="280"/>
      <c r="BX40" s="227"/>
      <c r="BY40" s="227"/>
      <c r="BZ40" s="180"/>
      <c r="CA40" s="180"/>
      <c r="CB40" s="180"/>
      <c r="CC40" s="180"/>
    </row>
    <row r="41" spans="1:81" ht="13.5" thickBot="1" x14ac:dyDescent="0.25">
      <c r="A41" s="306" t="s">
        <v>267</v>
      </c>
      <c r="B41" s="327"/>
      <c r="C41" s="328" t="s">
        <v>268</v>
      </c>
      <c r="D41" s="179"/>
      <c r="E41" s="285" t="s">
        <v>267</v>
      </c>
      <c r="H41" s="178">
        <v>35</v>
      </c>
      <c r="I41" s="470">
        <f t="shared" si="24"/>
        <v>0.105</v>
      </c>
      <c r="J41" s="225"/>
      <c r="K41" s="225"/>
      <c r="L41" s="225"/>
      <c r="M41" s="225"/>
      <c r="N41" s="275"/>
      <c r="O41" s="180"/>
      <c r="P41" s="225"/>
      <c r="Q41" s="456"/>
      <c r="S41" s="276"/>
      <c r="T41" s="276"/>
      <c r="U41" s="276"/>
      <c r="AJ41" s="456"/>
      <c r="AZ41" s="277"/>
      <c r="BJ41" s="227"/>
      <c r="BK41" s="227"/>
      <c r="BL41" s="227"/>
      <c r="BO41" s="180"/>
      <c r="BP41" s="227"/>
      <c r="BQ41" s="278"/>
      <c r="BR41" s="279"/>
      <c r="BS41" s="227"/>
      <c r="BT41" s="280"/>
      <c r="BX41" s="227"/>
      <c r="BY41" s="227"/>
      <c r="BZ41" s="180"/>
      <c r="CA41" s="180"/>
      <c r="CB41" s="180"/>
      <c r="CC41" s="180"/>
    </row>
    <row r="42" spans="1:81" ht="13.5" thickBot="1" x14ac:dyDescent="0.25">
      <c r="A42" s="306" t="s">
        <v>406</v>
      </c>
      <c r="B42" s="326">
        <v>2.5</v>
      </c>
      <c r="C42" s="295" t="s">
        <v>31</v>
      </c>
      <c r="D42" s="179">
        <f>B42/1000000000</f>
        <v>2.5000000000000001E-9</v>
      </c>
      <c r="E42" s="285" t="s">
        <v>408</v>
      </c>
      <c r="H42" s="178">
        <v>36</v>
      </c>
      <c r="I42" s="470">
        <f t="shared" si="24"/>
        <v>0.108</v>
      </c>
      <c r="J42" s="225"/>
      <c r="K42" s="225"/>
      <c r="L42" s="225"/>
      <c r="M42" s="225"/>
      <c r="N42" s="275"/>
      <c r="O42" s="180"/>
      <c r="P42" s="225"/>
      <c r="Q42" s="456"/>
      <c r="S42" s="276"/>
      <c r="T42" s="276"/>
      <c r="U42" s="276"/>
      <c r="AJ42" s="456"/>
      <c r="AZ42" s="277"/>
      <c r="BJ42" s="227"/>
      <c r="BK42" s="227"/>
      <c r="BL42" s="227"/>
      <c r="BO42" s="180"/>
      <c r="BP42" s="227"/>
      <c r="BQ42" s="278"/>
      <c r="BR42" s="279"/>
      <c r="BS42" s="227"/>
      <c r="BT42" s="280"/>
      <c r="BX42" s="227"/>
      <c r="BY42" s="227"/>
      <c r="BZ42" s="180"/>
      <c r="CA42" s="180"/>
      <c r="CB42" s="180"/>
      <c r="CC42" s="180"/>
    </row>
    <row r="43" spans="1:81" ht="13.5" thickBot="1" x14ac:dyDescent="0.25">
      <c r="A43" s="309" t="s">
        <v>241</v>
      </c>
      <c r="B43" s="326">
        <v>50</v>
      </c>
      <c r="C43" s="295" t="s">
        <v>15</v>
      </c>
      <c r="D43" s="329">
        <f>B43/1000000000000</f>
        <v>5.0000000000000002E-11</v>
      </c>
      <c r="E43" s="285" t="s">
        <v>330</v>
      </c>
      <c r="H43" s="178">
        <v>37</v>
      </c>
      <c r="I43" s="470">
        <f t="shared" si="24"/>
        <v>0.111</v>
      </c>
      <c r="J43" s="225"/>
      <c r="K43" s="225"/>
      <c r="L43" s="225"/>
      <c r="M43" s="225"/>
      <c r="N43" s="275"/>
      <c r="O43" s="180"/>
      <c r="P43" s="225"/>
      <c r="Q43" s="456"/>
      <c r="S43" s="276"/>
      <c r="T43" s="276"/>
      <c r="U43" s="276"/>
      <c r="AJ43" s="456"/>
      <c r="AZ43" s="277"/>
      <c r="BJ43" s="227"/>
      <c r="BK43" s="227"/>
      <c r="BL43" s="227"/>
      <c r="BO43" s="180"/>
      <c r="BP43" s="227"/>
      <c r="BQ43" s="278"/>
      <c r="BR43" s="279"/>
      <c r="BS43" s="227"/>
      <c r="BT43" s="280"/>
      <c r="BX43" s="227"/>
      <c r="BY43" s="227"/>
      <c r="BZ43" s="180"/>
      <c r="CA43" s="180"/>
      <c r="CB43" s="180"/>
      <c r="CC43" s="180"/>
    </row>
    <row r="44" spans="1:81" x14ac:dyDescent="0.2">
      <c r="A44" s="332" t="s">
        <v>329</v>
      </c>
      <c r="B44" s="326">
        <v>65</v>
      </c>
      <c r="C44" s="295" t="s">
        <v>15</v>
      </c>
      <c r="D44" s="297">
        <f>B44/1000000000000</f>
        <v>6.4999999999999995E-11</v>
      </c>
      <c r="E44" s="285" t="s">
        <v>485</v>
      </c>
      <c r="H44" s="178">
        <v>38</v>
      </c>
      <c r="I44" s="470">
        <f t="shared" si="24"/>
        <v>0.11399999999999999</v>
      </c>
      <c r="J44" s="225"/>
      <c r="K44" s="225"/>
      <c r="L44" s="225"/>
      <c r="M44" s="225"/>
      <c r="N44" s="275"/>
      <c r="O44" s="180"/>
      <c r="P44" s="225"/>
      <c r="Q44" s="456"/>
      <c r="S44" s="276"/>
      <c r="T44" s="276"/>
      <c r="U44" s="276"/>
      <c r="AJ44" s="456"/>
      <c r="AZ44" s="277"/>
      <c r="BJ44" s="227"/>
      <c r="BK44" s="227"/>
      <c r="BL44" s="227"/>
      <c r="BO44" s="180"/>
      <c r="BP44" s="227"/>
      <c r="BQ44" s="278"/>
      <c r="BR44" s="279"/>
      <c r="BS44" s="227"/>
      <c r="BT44" s="280"/>
      <c r="BX44" s="227"/>
      <c r="BY44" s="227"/>
      <c r="BZ44" s="180"/>
      <c r="CA44" s="180"/>
      <c r="CB44" s="180"/>
      <c r="CC44" s="180"/>
    </row>
    <row r="45" spans="1:81" ht="13.5" thickBot="1" x14ac:dyDescent="0.25">
      <c r="A45" s="317" t="s">
        <v>410</v>
      </c>
      <c r="B45" s="330"/>
      <c r="C45" s="317" t="s">
        <v>33</v>
      </c>
      <c r="D45" s="318" t="s">
        <v>90</v>
      </c>
      <c r="E45" s="331" t="s">
        <v>41</v>
      </c>
      <c r="H45" s="178">
        <v>39</v>
      </c>
      <c r="I45" s="470">
        <f t="shared" si="24"/>
        <v>0.11699999999999999</v>
      </c>
      <c r="J45" s="225"/>
      <c r="K45" s="225"/>
      <c r="L45" s="225"/>
      <c r="M45" s="225"/>
      <c r="N45" s="275"/>
      <c r="O45" s="180"/>
      <c r="P45" s="225"/>
      <c r="Q45" s="456"/>
      <c r="S45" s="276"/>
      <c r="T45" s="276"/>
      <c r="U45" s="276"/>
      <c r="AJ45" s="456"/>
      <c r="AZ45" s="277"/>
      <c r="BJ45" s="227"/>
      <c r="BK45" s="227"/>
      <c r="BL45" s="227"/>
      <c r="BO45" s="180"/>
      <c r="BP45" s="227"/>
      <c r="BQ45" s="278"/>
      <c r="BR45" s="279"/>
      <c r="BS45" s="227"/>
      <c r="BT45" s="280"/>
      <c r="BX45" s="227"/>
      <c r="BY45" s="227"/>
      <c r="BZ45" s="180"/>
      <c r="CA45" s="180"/>
      <c r="CB45" s="180"/>
      <c r="CC45" s="180"/>
    </row>
    <row r="46" spans="1:81" ht="13.5" thickBot="1" x14ac:dyDescent="0.25">
      <c r="A46" s="325" t="s">
        <v>675</v>
      </c>
      <c r="B46" s="326">
        <f>'Design Converter'!E41</f>
        <v>0.25</v>
      </c>
      <c r="C46" s="283" t="s">
        <v>0</v>
      </c>
      <c r="D46" s="179">
        <f>B46</f>
        <v>0.25</v>
      </c>
      <c r="E46" s="285" t="s">
        <v>674</v>
      </c>
      <c r="H46" s="178">
        <v>40</v>
      </c>
      <c r="I46" s="470">
        <f t="shared" si="24"/>
        <v>0.12</v>
      </c>
      <c r="J46" s="225"/>
      <c r="K46" s="225"/>
      <c r="L46" s="225"/>
      <c r="M46" s="225"/>
      <c r="N46" s="275"/>
      <c r="O46" s="180"/>
      <c r="P46" s="225"/>
      <c r="Q46" s="456"/>
      <c r="S46" s="276"/>
      <c r="T46" s="276"/>
      <c r="U46" s="276"/>
      <c r="AJ46" s="456"/>
      <c r="AZ46" s="277"/>
      <c r="BJ46" s="227"/>
      <c r="BK46" s="227"/>
      <c r="BL46" s="227"/>
      <c r="BO46" s="180"/>
      <c r="BP46" s="227"/>
      <c r="BQ46" s="278"/>
      <c r="BR46" s="279"/>
      <c r="BS46" s="227"/>
      <c r="BT46" s="280"/>
      <c r="BX46" s="227"/>
      <c r="BY46" s="227"/>
      <c r="BZ46" s="180"/>
      <c r="CA46" s="180"/>
      <c r="CB46" s="180"/>
      <c r="CC46" s="180"/>
    </row>
    <row r="47" spans="1:81" ht="13.5" thickBot="1" x14ac:dyDescent="0.25">
      <c r="A47" s="325" t="s">
        <v>676</v>
      </c>
      <c r="B47" s="326">
        <f>'Design Converter'!E42</f>
        <v>0.35</v>
      </c>
      <c r="C47" s="283" t="s">
        <v>0</v>
      </c>
      <c r="D47" s="179">
        <f>B47</f>
        <v>0.35</v>
      </c>
      <c r="E47" s="285" t="s">
        <v>673</v>
      </c>
      <c r="H47" s="178">
        <v>41</v>
      </c>
      <c r="I47" s="470">
        <f t="shared" si="24"/>
        <v>0.12299999999999998</v>
      </c>
      <c r="J47" s="225"/>
      <c r="K47" s="225"/>
      <c r="L47" s="225"/>
      <c r="M47" s="225"/>
      <c r="N47" s="275"/>
      <c r="O47" s="180"/>
      <c r="P47" s="225"/>
      <c r="Q47" s="456"/>
      <c r="S47" s="276"/>
      <c r="T47" s="276"/>
      <c r="U47" s="276"/>
      <c r="AJ47" s="456"/>
      <c r="AZ47" s="277"/>
      <c r="BJ47" s="227"/>
      <c r="BK47" s="227"/>
      <c r="BL47" s="227"/>
      <c r="BO47" s="180"/>
      <c r="BP47" s="227"/>
      <c r="BQ47" s="278"/>
      <c r="BR47" s="279"/>
      <c r="BS47" s="227"/>
      <c r="BT47" s="280"/>
      <c r="BX47" s="227"/>
      <c r="BY47" s="227"/>
      <c r="BZ47" s="180"/>
      <c r="CA47" s="180"/>
      <c r="CB47" s="180"/>
      <c r="CC47" s="180"/>
    </row>
    <row r="48" spans="1:81" ht="13.5" thickBot="1" x14ac:dyDescent="0.25">
      <c r="A48" s="325" t="s">
        <v>269</v>
      </c>
      <c r="B48" s="326">
        <v>100</v>
      </c>
      <c r="C48" s="286" t="s">
        <v>259</v>
      </c>
      <c r="D48" s="179">
        <f>B48*0.001</f>
        <v>0.1</v>
      </c>
      <c r="E48" s="285" t="s">
        <v>270</v>
      </c>
      <c r="H48" s="178">
        <v>42</v>
      </c>
      <c r="I48" s="470">
        <f t="shared" si="24"/>
        <v>0.126</v>
      </c>
      <c r="J48" s="225"/>
      <c r="K48" s="225"/>
      <c r="L48" s="225"/>
      <c r="M48" s="225"/>
      <c r="N48" s="275"/>
      <c r="O48" s="180"/>
      <c r="P48" s="225"/>
      <c r="Q48" s="456"/>
      <c r="S48" s="276"/>
      <c r="T48" s="276"/>
      <c r="U48" s="276"/>
      <c r="AJ48" s="456"/>
      <c r="AZ48" s="277"/>
      <c r="BJ48" s="227"/>
      <c r="BK48" s="227"/>
      <c r="BL48" s="227"/>
      <c r="BO48" s="180"/>
      <c r="BP48" s="227"/>
      <c r="BQ48" s="278"/>
      <c r="BR48" s="279"/>
      <c r="BS48" s="227"/>
      <c r="BT48" s="280"/>
      <c r="BX48" s="227"/>
      <c r="BY48" s="227"/>
      <c r="BZ48" s="180"/>
      <c r="CA48" s="180"/>
      <c r="CB48" s="180"/>
      <c r="CC48" s="180"/>
    </row>
    <row r="49" spans="1:81" ht="13.5" thickBot="1" x14ac:dyDescent="0.25">
      <c r="A49" s="306" t="s">
        <v>413</v>
      </c>
      <c r="B49" s="326">
        <v>2</v>
      </c>
      <c r="C49" s="295" t="s">
        <v>31</v>
      </c>
      <c r="D49" s="297">
        <f>B49*0.000000001</f>
        <v>2.0000000000000001E-9</v>
      </c>
      <c r="E49" s="285" t="s">
        <v>271</v>
      </c>
      <c r="H49" s="178">
        <v>43</v>
      </c>
      <c r="I49" s="470">
        <f t="shared" si="24"/>
        <v>0.129</v>
      </c>
      <c r="J49" s="225"/>
      <c r="K49" s="225"/>
      <c r="L49" s="225"/>
      <c r="M49" s="225"/>
      <c r="N49" s="275"/>
      <c r="O49" s="180"/>
      <c r="P49" s="225"/>
      <c r="Q49" s="456"/>
      <c r="S49" s="276"/>
      <c r="T49" s="276"/>
      <c r="U49" s="276"/>
      <c r="AJ49" s="456"/>
      <c r="AZ49" s="277"/>
      <c r="BJ49" s="227"/>
      <c r="BK49" s="227"/>
      <c r="BL49" s="227"/>
      <c r="BO49" s="180"/>
      <c r="BP49" s="227"/>
      <c r="BQ49" s="278"/>
      <c r="BR49" s="279"/>
      <c r="BS49" s="227"/>
      <c r="BT49" s="280"/>
      <c r="BX49" s="227"/>
      <c r="BY49" s="227"/>
      <c r="BZ49" s="180"/>
      <c r="CA49" s="180"/>
      <c r="CB49" s="180"/>
      <c r="CC49" s="180"/>
    </row>
    <row r="50" spans="1:81" ht="13.5" thickBot="1" x14ac:dyDescent="0.25">
      <c r="A50" s="306" t="s">
        <v>414</v>
      </c>
      <c r="B50" s="326">
        <v>10</v>
      </c>
      <c r="C50" s="295" t="s">
        <v>32</v>
      </c>
      <c r="D50" s="297">
        <f>B50*0.000000001</f>
        <v>1E-8</v>
      </c>
      <c r="E50" s="285" t="s">
        <v>272</v>
      </c>
      <c r="H50" s="178">
        <v>44</v>
      </c>
      <c r="I50" s="470">
        <f t="shared" si="24"/>
        <v>0.13200000000000001</v>
      </c>
      <c r="J50" s="225"/>
      <c r="K50" s="225"/>
      <c r="L50" s="225"/>
      <c r="M50" s="225"/>
      <c r="N50" s="275"/>
      <c r="O50" s="180"/>
      <c r="P50" s="225"/>
      <c r="Q50" s="456"/>
      <c r="S50" s="276"/>
      <c r="T50" s="276"/>
      <c r="U50" s="276"/>
      <c r="AJ50" s="456"/>
      <c r="AZ50" s="277"/>
      <c r="BJ50" s="227"/>
      <c r="BK50" s="227"/>
      <c r="BL50" s="227"/>
      <c r="BO50" s="180"/>
      <c r="BP50" s="227"/>
      <c r="BQ50" s="278"/>
      <c r="BR50" s="279"/>
      <c r="BS50" s="227"/>
      <c r="BT50" s="280"/>
      <c r="BX50" s="227"/>
      <c r="BY50" s="227"/>
      <c r="BZ50" s="180"/>
      <c r="CA50" s="180"/>
      <c r="CB50" s="180"/>
      <c r="CC50" s="180"/>
    </row>
    <row r="51" spans="1:81" x14ac:dyDescent="0.2">
      <c r="A51" s="332" t="s">
        <v>503</v>
      </c>
      <c r="B51" s="326">
        <v>0</v>
      </c>
      <c r="C51" s="283" t="s">
        <v>273</v>
      </c>
      <c r="D51" s="297">
        <f>B51/1000000</f>
        <v>0</v>
      </c>
      <c r="E51" s="285" t="s">
        <v>274</v>
      </c>
      <c r="H51" s="178">
        <v>45</v>
      </c>
      <c r="I51" s="470">
        <f t="shared" si="24"/>
        <v>0.13500000000000001</v>
      </c>
      <c r="J51" s="225"/>
      <c r="K51" s="225"/>
      <c r="L51" s="225"/>
      <c r="M51" s="225"/>
      <c r="N51" s="275"/>
      <c r="O51" s="180"/>
      <c r="P51" s="225"/>
      <c r="Q51" s="456"/>
      <c r="S51" s="276"/>
      <c r="T51" s="276"/>
      <c r="U51" s="276"/>
      <c r="AJ51" s="456"/>
      <c r="AZ51" s="277"/>
      <c r="BJ51" s="227"/>
      <c r="BK51" s="227"/>
      <c r="BL51" s="227"/>
      <c r="BO51" s="180"/>
      <c r="BP51" s="227"/>
      <c r="BQ51" s="278"/>
      <c r="BR51" s="279"/>
      <c r="BS51" s="227"/>
      <c r="BT51" s="280"/>
      <c r="BX51" s="227"/>
      <c r="BY51" s="227"/>
      <c r="BZ51" s="180"/>
      <c r="CA51" s="180"/>
      <c r="CB51" s="180"/>
      <c r="CC51" s="180"/>
    </row>
    <row r="52" spans="1:81" x14ac:dyDescent="0.2">
      <c r="H52" s="178">
        <v>46</v>
      </c>
      <c r="I52" s="470">
        <f t="shared" si="24"/>
        <v>0.13800000000000001</v>
      </c>
      <c r="J52" s="225"/>
      <c r="K52" s="225"/>
      <c r="L52" s="225"/>
      <c r="M52" s="225"/>
      <c r="N52" s="275"/>
      <c r="O52" s="180"/>
      <c r="P52" s="225"/>
      <c r="Q52" s="456"/>
      <c r="S52" s="276"/>
      <c r="T52" s="276"/>
      <c r="U52" s="276"/>
      <c r="AJ52" s="456"/>
      <c r="AZ52" s="277"/>
      <c r="BJ52" s="227"/>
      <c r="BK52" s="227"/>
      <c r="BL52" s="227"/>
      <c r="BO52" s="180"/>
      <c r="BP52" s="227"/>
      <c r="BQ52" s="278"/>
      <c r="BR52" s="279"/>
      <c r="BS52" s="227"/>
      <c r="BT52" s="280"/>
      <c r="BX52" s="227"/>
      <c r="BY52" s="227"/>
      <c r="BZ52" s="180"/>
      <c r="CA52" s="180"/>
      <c r="CB52" s="180"/>
      <c r="CC52" s="180"/>
    </row>
    <row r="53" spans="1:81" x14ac:dyDescent="0.2">
      <c r="A53" s="178">
        <f>Trise*1000000000</f>
        <v>20</v>
      </c>
      <c r="H53" s="178">
        <v>47</v>
      </c>
      <c r="I53" s="470">
        <f t="shared" si="24"/>
        <v>0.14099999999999999</v>
      </c>
      <c r="J53" s="225"/>
      <c r="K53" s="225"/>
      <c r="L53" s="225"/>
      <c r="M53" s="225"/>
      <c r="N53" s="275"/>
      <c r="O53" s="180"/>
      <c r="P53" s="225"/>
      <c r="Q53" s="456"/>
      <c r="S53" s="276"/>
      <c r="T53" s="276"/>
      <c r="U53" s="276"/>
      <c r="AJ53" s="456"/>
      <c r="AZ53" s="277"/>
      <c r="BJ53" s="227"/>
      <c r="BK53" s="227"/>
      <c r="BL53" s="227"/>
      <c r="BO53" s="180"/>
      <c r="BP53" s="227"/>
      <c r="BQ53" s="278"/>
      <c r="BR53" s="279"/>
      <c r="BS53" s="227"/>
      <c r="BT53" s="280"/>
      <c r="BX53" s="227"/>
      <c r="BY53" s="227"/>
      <c r="BZ53" s="180"/>
      <c r="CA53" s="180"/>
      <c r="CB53" s="180"/>
      <c r="CC53" s="180"/>
    </row>
    <row r="54" spans="1:81" x14ac:dyDescent="0.2">
      <c r="A54" s="328"/>
      <c r="H54" s="178">
        <v>48</v>
      </c>
      <c r="I54" s="470">
        <f t="shared" si="24"/>
        <v>0.14399999999999999</v>
      </c>
      <c r="J54" s="225"/>
      <c r="K54" s="225"/>
      <c r="L54" s="225"/>
      <c r="M54" s="225"/>
      <c r="N54" s="275"/>
      <c r="O54" s="180"/>
      <c r="P54" s="225"/>
      <c r="Q54" s="456"/>
      <c r="S54" s="276"/>
      <c r="T54" s="276"/>
      <c r="U54" s="276"/>
      <c r="AJ54" s="456"/>
      <c r="AZ54" s="277"/>
      <c r="BJ54" s="227"/>
      <c r="BK54" s="227"/>
      <c r="BL54" s="227"/>
      <c r="BO54" s="180"/>
      <c r="BP54" s="227"/>
      <c r="BQ54" s="278"/>
      <c r="BR54" s="279"/>
      <c r="BS54" s="227"/>
      <c r="BT54" s="280"/>
      <c r="BX54" s="227"/>
      <c r="BY54" s="227"/>
      <c r="BZ54" s="180"/>
      <c r="CA54" s="180"/>
      <c r="CB54" s="180"/>
      <c r="CC54" s="180"/>
    </row>
    <row r="55" spans="1:81" x14ac:dyDescent="0.2">
      <c r="H55" s="178">
        <v>49</v>
      </c>
      <c r="I55" s="470">
        <f t="shared" si="24"/>
        <v>0.14699999999999999</v>
      </c>
      <c r="J55" s="225"/>
      <c r="K55" s="225"/>
      <c r="L55" s="225"/>
      <c r="M55" s="225"/>
      <c r="N55" s="275"/>
      <c r="O55" s="180"/>
      <c r="P55" s="225"/>
      <c r="Q55" s="456"/>
      <c r="S55" s="276"/>
      <c r="T55" s="276"/>
      <c r="U55" s="276"/>
      <c r="AJ55" s="456"/>
      <c r="AZ55" s="277"/>
      <c r="BJ55" s="227"/>
      <c r="BK55" s="227"/>
      <c r="BL55" s="227"/>
      <c r="BO55" s="180"/>
      <c r="BP55" s="227"/>
      <c r="BQ55" s="278"/>
      <c r="BR55" s="279"/>
      <c r="BS55" s="227"/>
      <c r="BT55" s="280"/>
      <c r="BX55" s="227"/>
      <c r="BY55" s="227"/>
      <c r="BZ55" s="180"/>
      <c r="CA55" s="180"/>
      <c r="CB55" s="180"/>
      <c r="CC55" s="180"/>
    </row>
    <row r="56" spans="1:81" x14ac:dyDescent="0.2">
      <c r="H56" s="178">
        <v>50</v>
      </c>
      <c r="I56" s="470">
        <f t="shared" si="24"/>
        <v>0.15</v>
      </c>
      <c r="J56" s="225"/>
      <c r="K56" s="225"/>
      <c r="L56" s="225"/>
      <c r="M56" s="225"/>
      <c r="N56" s="275"/>
      <c r="O56" s="180"/>
      <c r="P56" s="225"/>
      <c r="Q56" s="456"/>
      <c r="S56" s="276"/>
      <c r="T56" s="276"/>
      <c r="U56" s="276"/>
      <c r="AJ56" s="456"/>
      <c r="AZ56" s="277"/>
      <c r="BJ56" s="227"/>
      <c r="BK56" s="227"/>
      <c r="BL56" s="227"/>
      <c r="BO56" s="180"/>
      <c r="BP56" s="227"/>
      <c r="BQ56" s="278"/>
      <c r="BR56" s="279"/>
      <c r="BS56" s="227"/>
      <c r="BT56" s="280"/>
      <c r="BX56" s="227"/>
      <c r="BY56" s="227"/>
      <c r="BZ56" s="180"/>
      <c r="CA56" s="180"/>
      <c r="CB56" s="180"/>
      <c r="CC56" s="180"/>
    </row>
    <row r="57" spans="1:81" x14ac:dyDescent="0.2">
      <c r="H57" s="178">
        <v>51</v>
      </c>
      <c r="I57" s="470">
        <f t="shared" si="24"/>
        <v>0.153</v>
      </c>
      <c r="J57" s="225"/>
      <c r="K57" s="225"/>
      <c r="L57" s="225"/>
      <c r="M57" s="225"/>
      <c r="N57" s="275"/>
      <c r="O57" s="180"/>
      <c r="P57" s="225"/>
      <c r="Q57" s="456"/>
      <c r="S57" s="276"/>
      <c r="T57" s="276"/>
      <c r="U57" s="276"/>
      <c r="AJ57" s="456"/>
      <c r="AZ57" s="277"/>
      <c r="BJ57" s="227"/>
      <c r="BK57" s="227"/>
      <c r="BL57" s="227"/>
      <c r="BO57" s="180"/>
      <c r="BP57" s="227"/>
      <c r="BQ57" s="278"/>
      <c r="BR57" s="279"/>
      <c r="BS57" s="227"/>
      <c r="BT57" s="280"/>
      <c r="BX57" s="227"/>
      <c r="BY57" s="227"/>
      <c r="BZ57" s="180"/>
      <c r="CA57" s="180"/>
      <c r="CB57" s="180"/>
      <c r="CC57" s="180"/>
    </row>
    <row r="58" spans="1:81" x14ac:dyDescent="0.2">
      <c r="H58" s="178">
        <v>52</v>
      </c>
      <c r="I58" s="470">
        <f t="shared" si="24"/>
        <v>0.156</v>
      </c>
      <c r="J58" s="225"/>
      <c r="K58" s="225"/>
      <c r="L58" s="225"/>
      <c r="M58" s="225"/>
      <c r="N58" s="275"/>
      <c r="O58" s="180"/>
      <c r="P58" s="225"/>
      <c r="Q58" s="456"/>
      <c r="S58" s="276"/>
      <c r="T58" s="276"/>
      <c r="U58" s="276"/>
      <c r="AJ58" s="456"/>
      <c r="AZ58" s="277"/>
      <c r="BJ58" s="227"/>
      <c r="BK58" s="227"/>
      <c r="BL58" s="227"/>
      <c r="BO58" s="180"/>
      <c r="BP58" s="227"/>
      <c r="BQ58" s="278"/>
      <c r="BR58" s="279"/>
      <c r="BS58" s="227"/>
      <c r="BT58" s="280"/>
      <c r="BX58" s="227"/>
      <c r="BY58" s="227"/>
      <c r="BZ58" s="180"/>
      <c r="CA58" s="180"/>
      <c r="CB58" s="180"/>
      <c r="CC58" s="180"/>
    </row>
    <row r="59" spans="1:81" x14ac:dyDescent="0.2">
      <c r="H59" s="178">
        <v>53</v>
      </c>
      <c r="I59" s="470">
        <f t="shared" si="24"/>
        <v>0.159</v>
      </c>
      <c r="J59" s="225"/>
      <c r="K59" s="225"/>
      <c r="L59" s="225"/>
      <c r="M59" s="225"/>
      <c r="N59" s="275"/>
      <c r="O59" s="180"/>
      <c r="P59" s="225"/>
      <c r="Q59" s="456"/>
      <c r="S59" s="276"/>
      <c r="T59" s="276"/>
      <c r="U59" s="276"/>
      <c r="AJ59" s="456"/>
      <c r="AZ59" s="277"/>
      <c r="BJ59" s="227"/>
      <c r="BK59" s="227"/>
      <c r="BL59" s="227"/>
      <c r="BO59" s="180"/>
      <c r="BP59" s="227"/>
      <c r="BQ59" s="278"/>
      <c r="BR59" s="279"/>
      <c r="BS59" s="227"/>
      <c r="BT59" s="280"/>
      <c r="BX59" s="227"/>
      <c r="BY59" s="227"/>
      <c r="BZ59" s="180"/>
      <c r="CA59" s="180"/>
      <c r="CB59" s="180"/>
      <c r="CC59" s="180"/>
    </row>
    <row r="60" spans="1:81" x14ac:dyDescent="0.2">
      <c r="H60" s="178">
        <v>54</v>
      </c>
      <c r="I60" s="470">
        <f t="shared" si="24"/>
        <v>0.16200000000000001</v>
      </c>
      <c r="J60" s="225"/>
      <c r="K60" s="225"/>
      <c r="L60" s="225"/>
      <c r="M60" s="225"/>
      <c r="N60" s="275"/>
      <c r="O60" s="180"/>
      <c r="P60" s="225"/>
      <c r="Q60" s="456"/>
      <c r="S60" s="276"/>
      <c r="T60" s="276"/>
      <c r="U60" s="276"/>
      <c r="AJ60" s="456"/>
      <c r="AZ60" s="277"/>
      <c r="BJ60" s="227"/>
      <c r="BK60" s="227"/>
      <c r="BL60" s="227"/>
      <c r="BO60" s="180"/>
      <c r="BP60" s="227"/>
      <c r="BQ60" s="278"/>
      <c r="BR60" s="279"/>
      <c r="BS60" s="227"/>
      <c r="BT60" s="280"/>
      <c r="BX60" s="227"/>
      <c r="BY60" s="227"/>
      <c r="BZ60" s="180"/>
      <c r="CA60" s="180"/>
      <c r="CB60" s="180"/>
      <c r="CC60" s="180"/>
    </row>
    <row r="61" spans="1:81" x14ac:dyDescent="0.2">
      <c r="H61" s="178">
        <v>55</v>
      </c>
      <c r="I61" s="470">
        <f t="shared" si="24"/>
        <v>0.16500000000000001</v>
      </c>
      <c r="J61" s="225"/>
      <c r="K61" s="225"/>
      <c r="L61" s="225"/>
      <c r="M61" s="225"/>
      <c r="N61" s="275"/>
      <c r="O61" s="180"/>
      <c r="P61" s="225"/>
      <c r="Q61" s="456"/>
      <c r="S61" s="276"/>
      <c r="T61" s="276"/>
      <c r="U61" s="276"/>
      <c r="AJ61" s="456"/>
      <c r="AZ61" s="277"/>
      <c r="BJ61" s="227"/>
      <c r="BK61" s="227"/>
      <c r="BL61" s="227"/>
      <c r="BO61" s="180"/>
      <c r="BP61" s="227"/>
      <c r="BQ61" s="278"/>
      <c r="BR61" s="279"/>
      <c r="BS61" s="227"/>
      <c r="BT61" s="280"/>
      <c r="BX61" s="227"/>
      <c r="BY61" s="227"/>
      <c r="BZ61" s="180"/>
      <c r="CA61" s="180"/>
      <c r="CB61" s="180"/>
      <c r="CC61" s="180"/>
    </row>
    <row r="62" spans="1:81" x14ac:dyDescent="0.2">
      <c r="H62" s="178">
        <v>56</v>
      </c>
      <c r="I62" s="470">
        <f t="shared" si="24"/>
        <v>0.16800000000000001</v>
      </c>
      <c r="J62" s="225"/>
      <c r="K62" s="225"/>
      <c r="L62" s="225"/>
      <c r="M62" s="225"/>
      <c r="N62" s="275"/>
      <c r="O62" s="180"/>
      <c r="P62" s="225"/>
      <c r="Q62" s="456"/>
      <c r="S62" s="276"/>
      <c r="T62" s="276"/>
      <c r="U62" s="276"/>
      <c r="AJ62" s="456"/>
      <c r="AZ62" s="277"/>
      <c r="BJ62" s="227"/>
      <c r="BK62" s="227"/>
      <c r="BL62" s="227"/>
      <c r="BO62" s="180"/>
      <c r="BP62" s="227"/>
      <c r="BQ62" s="278"/>
      <c r="BR62" s="279"/>
      <c r="BS62" s="227"/>
      <c r="BT62" s="280"/>
      <c r="BX62" s="227"/>
      <c r="BY62" s="227"/>
      <c r="BZ62" s="180"/>
      <c r="CA62" s="180"/>
      <c r="CB62" s="180"/>
      <c r="CC62" s="180"/>
    </row>
    <row r="63" spans="1:81" x14ac:dyDescent="0.2">
      <c r="F63" s="333" t="s">
        <v>275</v>
      </c>
      <c r="G63" s="333" t="s">
        <v>276</v>
      </c>
      <c r="H63" s="178">
        <v>57</v>
      </c>
      <c r="I63" s="470">
        <f t="shared" si="24"/>
        <v>0.17099999999999999</v>
      </c>
      <c r="J63" s="225"/>
      <c r="K63" s="225"/>
      <c r="L63" s="225"/>
      <c r="M63" s="225"/>
      <c r="N63" s="275"/>
      <c r="O63" s="180"/>
      <c r="P63" s="225"/>
      <c r="Q63" s="456"/>
      <c r="S63" s="276"/>
      <c r="T63" s="276"/>
      <c r="U63" s="276"/>
      <c r="AJ63" s="456"/>
      <c r="AZ63" s="277"/>
      <c r="BJ63" s="227"/>
      <c r="BK63" s="227"/>
      <c r="BL63" s="227"/>
      <c r="BO63" s="180"/>
      <c r="BP63" s="227"/>
      <c r="BQ63" s="278"/>
      <c r="BR63" s="279"/>
      <c r="BS63" s="227"/>
      <c r="BT63" s="280"/>
      <c r="BX63" s="227"/>
      <c r="BY63" s="227"/>
      <c r="BZ63" s="180"/>
      <c r="CA63" s="180"/>
      <c r="CB63" s="180"/>
      <c r="CC63" s="180"/>
    </row>
    <row r="64" spans="1:81" x14ac:dyDescent="0.2">
      <c r="F64" s="334">
        <f>BM56</f>
        <v>0</v>
      </c>
      <c r="G64" s="335">
        <f>I56*1000</f>
        <v>150</v>
      </c>
      <c r="H64" s="178">
        <v>58</v>
      </c>
      <c r="I64" s="470">
        <f t="shared" si="24"/>
        <v>0.17399999999999999</v>
      </c>
      <c r="J64" s="225"/>
      <c r="K64" s="225"/>
      <c r="L64" s="225"/>
      <c r="M64" s="225"/>
      <c r="N64" s="275"/>
      <c r="O64" s="180"/>
      <c r="P64" s="225"/>
      <c r="Q64" s="456"/>
      <c r="S64" s="276"/>
      <c r="T64" s="276"/>
      <c r="U64" s="276"/>
      <c r="AJ64" s="456"/>
      <c r="AZ64" s="277"/>
      <c r="BJ64" s="227"/>
      <c r="BK64" s="227"/>
      <c r="BL64" s="227"/>
      <c r="BO64" s="180"/>
      <c r="BP64" s="227"/>
      <c r="BQ64" s="278"/>
      <c r="BR64" s="279"/>
      <c r="BS64" s="227"/>
      <c r="BT64" s="280"/>
      <c r="BX64" s="227"/>
      <c r="BY64" s="227"/>
      <c r="BZ64" s="180"/>
      <c r="CA64" s="180"/>
      <c r="CB64" s="180"/>
      <c r="CC64" s="180"/>
    </row>
    <row r="65" spans="6:81" x14ac:dyDescent="0.2">
      <c r="F65" s="334">
        <f>BM81</f>
        <v>0</v>
      </c>
      <c r="G65" s="335">
        <f>I81*1000</f>
        <v>224.99999999999997</v>
      </c>
      <c r="H65" s="178">
        <v>59</v>
      </c>
      <c r="I65" s="470">
        <f t="shared" si="24"/>
        <v>0.17699999999999999</v>
      </c>
      <c r="J65" s="225"/>
      <c r="K65" s="225"/>
      <c r="L65" s="225"/>
      <c r="M65" s="225"/>
      <c r="N65" s="275"/>
      <c r="O65" s="180"/>
      <c r="P65" s="225"/>
      <c r="Q65" s="456"/>
      <c r="S65" s="276"/>
      <c r="T65" s="276"/>
      <c r="U65" s="276"/>
      <c r="AJ65" s="456"/>
      <c r="AZ65" s="277"/>
      <c r="BJ65" s="227"/>
      <c r="BK65" s="227"/>
      <c r="BL65" s="227"/>
      <c r="BO65" s="180"/>
      <c r="BP65" s="227"/>
      <c r="BQ65" s="278"/>
      <c r="BR65" s="279"/>
      <c r="BS65" s="227"/>
      <c r="BT65" s="280"/>
      <c r="BX65" s="227"/>
      <c r="BY65" s="227"/>
      <c r="BZ65" s="180"/>
      <c r="CA65" s="180"/>
      <c r="CB65" s="180"/>
      <c r="CC65" s="180"/>
    </row>
    <row r="66" spans="6:81" x14ac:dyDescent="0.2">
      <c r="F66" s="334">
        <f>BM106</f>
        <v>100</v>
      </c>
      <c r="G66" s="335">
        <f>I106*1000</f>
        <v>300</v>
      </c>
      <c r="H66" s="178">
        <v>60</v>
      </c>
      <c r="I66" s="470">
        <f t="shared" si="24"/>
        <v>0.18</v>
      </c>
      <c r="J66" s="225"/>
      <c r="K66" s="225"/>
      <c r="L66" s="225"/>
      <c r="M66" s="225"/>
      <c r="N66" s="275"/>
      <c r="O66" s="180"/>
      <c r="P66" s="225"/>
      <c r="Q66" s="456"/>
      <c r="S66" s="276"/>
      <c r="T66" s="276"/>
      <c r="U66" s="276"/>
      <c r="AJ66" s="456"/>
      <c r="AZ66" s="277"/>
      <c r="BJ66" s="227"/>
      <c r="BK66" s="227"/>
      <c r="BL66" s="227"/>
      <c r="BO66" s="180"/>
      <c r="BP66" s="227"/>
      <c r="BQ66" s="278"/>
      <c r="BR66" s="279"/>
      <c r="BS66" s="227"/>
      <c r="BT66" s="280"/>
      <c r="BX66" s="227"/>
      <c r="BY66" s="227"/>
      <c r="BZ66" s="180"/>
      <c r="CA66" s="180"/>
      <c r="CB66" s="180"/>
      <c r="CC66" s="180"/>
    </row>
    <row r="67" spans="6:81" x14ac:dyDescent="0.2">
      <c r="H67" s="178">
        <v>61</v>
      </c>
      <c r="I67" s="470">
        <f t="shared" si="24"/>
        <v>0.183</v>
      </c>
      <c r="J67" s="225"/>
      <c r="K67" s="225"/>
      <c r="L67" s="225"/>
      <c r="M67" s="225"/>
      <c r="N67" s="275"/>
      <c r="O67" s="180"/>
      <c r="P67" s="225"/>
      <c r="Q67" s="456"/>
      <c r="S67" s="276"/>
      <c r="T67" s="276"/>
      <c r="U67" s="276"/>
      <c r="AJ67" s="456"/>
      <c r="AZ67" s="277"/>
      <c r="BJ67" s="227"/>
      <c r="BK67" s="227"/>
      <c r="BL67" s="227"/>
      <c r="BO67" s="180"/>
      <c r="BP67" s="227"/>
      <c r="BQ67" s="278"/>
      <c r="BR67" s="279"/>
      <c r="BS67" s="227"/>
      <c r="BT67" s="280"/>
      <c r="BX67" s="227"/>
      <c r="BY67" s="227"/>
      <c r="BZ67" s="180"/>
      <c r="CA67" s="180"/>
      <c r="CB67" s="180"/>
      <c r="CC67" s="180"/>
    </row>
    <row r="68" spans="6:81" x14ac:dyDescent="0.2">
      <c r="H68" s="178">
        <v>62</v>
      </c>
      <c r="I68" s="470">
        <f t="shared" si="24"/>
        <v>0.186</v>
      </c>
      <c r="J68" s="225"/>
      <c r="K68" s="225"/>
      <c r="L68" s="225"/>
      <c r="M68" s="225"/>
      <c r="N68" s="275"/>
      <c r="O68" s="180"/>
      <c r="P68" s="225"/>
      <c r="Q68" s="456"/>
      <c r="S68" s="276"/>
      <c r="T68" s="276"/>
      <c r="U68" s="276"/>
      <c r="AJ68" s="456"/>
      <c r="AZ68" s="277"/>
      <c r="BJ68" s="227"/>
      <c r="BK68" s="227"/>
      <c r="BL68" s="227"/>
      <c r="BO68" s="180"/>
      <c r="BP68" s="227"/>
      <c r="BQ68" s="278"/>
      <c r="BR68" s="279"/>
      <c r="BS68" s="227"/>
      <c r="BT68" s="280"/>
      <c r="BX68" s="227"/>
      <c r="BY68" s="227"/>
      <c r="BZ68" s="180"/>
      <c r="CA68" s="180"/>
      <c r="CB68" s="180"/>
      <c r="CC68" s="180"/>
    </row>
    <row r="69" spans="6:81" x14ac:dyDescent="0.2">
      <c r="H69" s="178">
        <v>63</v>
      </c>
      <c r="I69" s="470">
        <f t="shared" si="24"/>
        <v>0.189</v>
      </c>
      <c r="J69" s="225"/>
      <c r="K69" s="225"/>
      <c r="L69" s="225"/>
      <c r="M69" s="225"/>
      <c r="N69" s="275"/>
      <c r="O69" s="180"/>
      <c r="P69" s="225"/>
      <c r="Q69" s="456"/>
      <c r="S69" s="276"/>
      <c r="T69" s="276"/>
      <c r="U69" s="276"/>
      <c r="AJ69" s="456"/>
      <c r="AZ69" s="277"/>
      <c r="BJ69" s="227"/>
      <c r="BK69" s="227"/>
      <c r="BL69" s="227"/>
      <c r="BO69" s="180"/>
      <c r="BP69" s="227"/>
      <c r="BQ69" s="278"/>
      <c r="BR69" s="279"/>
      <c r="BS69" s="227"/>
      <c r="BT69" s="280"/>
      <c r="BX69" s="227"/>
      <c r="BY69" s="227"/>
      <c r="BZ69" s="180"/>
      <c r="CA69" s="180"/>
      <c r="CB69" s="180"/>
      <c r="CC69" s="180"/>
    </row>
    <row r="70" spans="6:81" x14ac:dyDescent="0.2">
      <c r="H70" s="178">
        <v>64</v>
      </c>
      <c r="I70" s="470">
        <f t="shared" ref="I70:I101" si="25">IF(PLOT_TYPE=1, H70/100*Iout_max, min_I*EXP(H70*rr/100))</f>
        <v>0.192</v>
      </c>
      <c r="J70" s="225"/>
      <c r="K70" s="225"/>
      <c r="L70" s="225"/>
      <c r="M70" s="225"/>
      <c r="N70" s="275"/>
      <c r="O70" s="180"/>
      <c r="P70" s="225"/>
      <c r="Q70" s="456"/>
      <c r="S70" s="276"/>
      <c r="T70" s="276"/>
      <c r="U70" s="276"/>
      <c r="AJ70" s="456"/>
      <c r="AZ70" s="277"/>
      <c r="BJ70" s="227"/>
      <c r="BK70" s="227"/>
      <c r="BL70" s="227"/>
      <c r="BO70" s="180"/>
      <c r="BP70" s="227"/>
      <c r="BQ70" s="278"/>
      <c r="BR70" s="279"/>
      <c r="BS70" s="227"/>
      <c r="BT70" s="280"/>
      <c r="BX70" s="227"/>
      <c r="BY70" s="227"/>
      <c r="BZ70" s="180"/>
      <c r="CA70" s="180"/>
      <c r="CB70" s="180"/>
      <c r="CC70" s="180"/>
    </row>
    <row r="71" spans="6:81" x14ac:dyDescent="0.2">
      <c r="H71" s="178">
        <v>65</v>
      </c>
      <c r="I71" s="470">
        <f t="shared" si="25"/>
        <v>0.19500000000000001</v>
      </c>
      <c r="J71" s="225"/>
      <c r="K71" s="225"/>
      <c r="L71" s="225"/>
      <c r="M71" s="225"/>
      <c r="N71" s="275"/>
      <c r="O71" s="180"/>
      <c r="P71" s="225"/>
      <c r="Q71" s="456"/>
      <c r="S71" s="276"/>
      <c r="T71" s="276"/>
      <c r="U71" s="276"/>
      <c r="AJ71" s="456"/>
      <c r="AZ71" s="277"/>
      <c r="BJ71" s="227"/>
      <c r="BK71" s="227"/>
      <c r="BL71" s="227"/>
      <c r="BO71" s="180"/>
      <c r="BP71" s="227"/>
      <c r="BQ71" s="278"/>
      <c r="BR71" s="279"/>
      <c r="BS71" s="227"/>
      <c r="BT71" s="280"/>
      <c r="BX71" s="227"/>
      <c r="BY71" s="227"/>
      <c r="BZ71" s="180"/>
      <c r="CA71" s="180"/>
      <c r="CB71" s="180"/>
      <c r="CC71" s="180"/>
    </row>
    <row r="72" spans="6:81" x14ac:dyDescent="0.2">
      <c r="H72" s="178">
        <v>66</v>
      </c>
      <c r="I72" s="470">
        <f t="shared" si="25"/>
        <v>0.19800000000000001</v>
      </c>
      <c r="J72" s="225"/>
      <c r="K72" s="225"/>
      <c r="L72" s="225"/>
      <c r="M72" s="225"/>
      <c r="N72" s="275"/>
      <c r="O72" s="180"/>
      <c r="P72" s="225"/>
      <c r="Q72" s="456"/>
      <c r="S72" s="276"/>
      <c r="T72" s="276"/>
      <c r="U72" s="276"/>
      <c r="AJ72" s="456"/>
      <c r="AZ72" s="277"/>
      <c r="BJ72" s="227"/>
      <c r="BK72" s="227"/>
      <c r="BL72" s="227"/>
      <c r="BO72" s="180"/>
      <c r="BP72" s="227"/>
      <c r="BQ72" s="278"/>
      <c r="BR72" s="279"/>
      <c r="BS72" s="227"/>
      <c r="BT72" s="280"/>
      <c r="BX72" s="227"/>
      <c r="BY72" s="227"/>
      <c r="BZ72" s="180"/>
      <c r="CA72" s="180"/>
      <c r="CB72" s="180"/>
      <c r="CC72" s="180"/>
    </row>
    <row r="73" spans="6:81" x14ac:dyDescent="0.2">
      <c r="H73" s="178">
        <v>67</v>
      </c>
      <c r="I73" s="470">
        <f t="shared" si="25"/>
        <v>0.20100000000000001</v>
      </c>
      <c r="J73" s="225"/>
      <c r="K73" s="225"/>
      <c r="L73" s="225"/>
      <c r="M73" s="225"/>
      <c r="N73" s="275"/>
      <c r="O73" s="180"/>
      <c r="P73" s="225"/>
      <c r="Q73" s="456"/>
      <c r="S73" s="276"/>
      <c r="T73" s="276"/>
      <c r="U73" s="276"/>
      <c r="AJ73" s="456"/>
      <c r="AZ73" s="277"/>
      <c r="BJ73" s="227"/>
      <c r="BK73" s="227"/>
      <c r="BL73" s="227"/>
      <c r="BO73" s="180"/>
      <c r="BP73" s="227"/>
      <c r="BQ73" s="278"/>
      <c r="BR73" s="279"/>
      <c r="BS73" s="227"/>
      <c r="BT73" s="280"/>
      <c r="BX73" s="227"/>
      <c r="BY73" s="227"/>
      <c r="BZ73" s="180"/>
      <c r="CA73" s="180"/>
      <c r="CB73" s="180"/>
      <c r="CC73" s="180"/>
    </row>
    <row r="74" spans="6:81" x14ac:dyDescent="0.2">
      <c r="H74" s="178">
        <v>68</v>
      </c>
      <c r="I74" s="470">
        <f t="shared" si="25"/>
        <v>0.20400000000000001</v>
      </c>
      <c r="J74" s="225"/>
      <c r="K74" s="225"/>
      <c r="L74" s="225"/>
      <c r="M74" s="225"/>
      <c r="N74" s="275"/>
      <c r="O74" s="180"/>
      <c r="P74" s="225"/>
      <c r="Q74" s="456"/>
      <c r="S74" s="276"/>
      <c r="T74" s="276"/>
      <c r="U74" s="276"/>
      <c r="AJ74" s="456"/>
      <c r="AZ74" s="277"/>
      <c r="BJ74" s="227"/>
      <c r="BK74" s="227"/>
      <c r="BL74" s="227"/>
      <c r="BO74" s="180"/>
      <c r="BP74" s="227"/>
      <c r="BQ74" s="278"/>
      <c r="BR74" s="279"/>
      <c r="BS74" s="227"/>
      <c r="BT74" s="280"/>
      <c r="BX74" s="227"/>
      <c r="BY74" s="227"/>
      <c r="BZ74" s="180"/>
      <c r="CA74" s="180"/>
      <c r="CB74" s="180"/>
      <c r="CC74" s="180"/>
    </row>
    <row r="75" spans="6:81" x14ac:dyDescent="0.2">
      <c r="H75" s="178">
        <v>69</v>
      </c>
      <c r="I75" s="470">
        <f t="shared" si="25"/>
        <v>0.20699999999999999</v>
      </c>
      <c r="J75" s="225"/>
      <c r="K75" s="225"/>
      <c r="L75" s="225"/>
      <c r="M75" s="225"/>
      <c r="N75" s="275"/>
      <c r="O75" s="180"/>
      <c r="P75" s="225"/>
      <c r="Q75" s="456"/>
      <c r="S75" s="276"/>
      <c r="T75" s="276"/>
      <c r="U75" s="276"/>
      <c r="AJ75" s="456"/>
      <c r="AZ75" s="277"/>
      <c r="BJ75" s="227"/>
      <c r="BK75" s="227"/>
      <c r="BL75" s="227"/>
      <c r="BO75" s="180"/>
      <c r="BP75" s="227"/>
      <c r="BQ75" s="278"/>
      <c r="BR75" s="279"/>
      <c r="BS75" s="227"/>
      <c r="BT75" s="280"/>
      <c r="BX75" s="227"/>
      <c r="BY75" s="227"/>
      <c r="BZ75" s="180"/>
      <c r="CA75" s="180"/>
      <c r="CB75" s="180"/>
      <c r="CC75" s="180"/>
    </row>
    <row r="76" spans="6:81" x14ac:dyDescent="0.2">
      <c r="H76" s="178">
        <v>70</v>
      </c>
      <c r="I76" s="470">
        <f t="shared" si="25"/>
        <v>0.21</v>
      </c>
      <c r="J76" s="225"/>
      <c r="K76" s="225"/>
      <c r="L76" s="225"/>
      <c r="M76" s="225"/>
      <c r="N76" s="275"/>
      <c r="O76" s="180"/>
      <c r="P76" s="225"/>
      <c r="Q76" s="456"/>
      <c r="S76" s="276"/>
      <c r="T76" s="276"/>
      <c r="U76" s="276"/>
      <c r="AJ76" s="456"/>
      <c r="AZ76" s="277"/>
      <c r="BJ76" s="227"/>
      <c r="BK76" s="227"/>
      <c r="BL76" s="227"/>
      <c r="BO76" s="180"/>
      <c r="BP76" s="227"/>
      <c r="BQ76" s="278"/>
      <c r="BR76" s="279"/>
      <c r="BS76" s="227"/>
      <c r="BT76" s="280"/>
      <c r="BX76" s="227"/>
      <c r="BY76" s="227"/>
      <c r="BZ76" s="180"/>
      <c r="CA76" s="180"/>
      <c r="CB76" s="180"/>
      <c r="CC76" s="180"/>
    </row>
    <row r="77" spans="6:81" x14ac:dyDescent="0.2">
      <c r="H77" s="178">
        <v>71</v>
      </c>
      <c r="I77" s="470">
        <f t="shared" si="25"/>
        <v>0.21299999999999999</v>
      </c>
      <c r="J77" s="225"/>
      <c r="K77" s="225"/>
      <c r="L77" s="225"/>
      <c r="M77" s="225"/>
      <c r="N77" s="275"/>
      <c r="O77" s="180"/>
      <c r="P77" s="225"/>
      <c r="Q77" s="456"/>
      <c r="S77" s="276"/>
      <c r="T77" s="276"/>
      <c r="U77" s="276"/>
      <c r="AJ77" s="456"/>
      <c r="AZ77" s="277"/>
      <c r="BJ77" s="227"/>
      <c r="BK77" s="227"/>
      <c r="BL77" s="227"/>
      <c r="BO77" s="180"/>
      <c r="BP77" s="227"/>
      <c r="BQ77" s="278"/>
      <c r="BR77" s="279"/>
      <c r="BS77" s="227"/>
      <c r="BT77" s="280"/>
      <c r="BX77" s="227"/>
      <c r="BY77" s="227"/>
      <c r="BZ77" s="180"/>
      <c r="CA77" s="180"/>
      <c r="CB77" s="180"/>
      <c r="CC77" s="180"/>
    </row>
    <row r="78" spans="6:81" x14ac:dyDescent="0.2">
      <c r="H78" s="178">
        <v>72</v>
      </c>
      <c r="I78" s="470">
        <f t="shared" si="25"/>
        <v>0.216</v>
      </c>
      <c r="J78" s="225"/>
      <c r="K78" s="225"/>
      <c r="L78" s="225"/>
      <c r="M78" s="225"/>
      <c r="N78" s="275"/>
      <c r="O78" s="180"/>
      <c r="P78" s="225"/>
      <c r="Q78" s="456"/>
      <c r="S78" s="276"/>
      <c r="T78" s="276"/>
      <c r="U78" s="276"/>
      <c r="AJ78" s="456"/>
      <c r="AZ78" s="277"/>
      <c r="BJ78" s="227"/>
      <c r="BK78" s="227"/>
      <c r="BL78" s="227"/>
      <c r="BO78" s="180"/>
      <c r="BP78" s="227"/>
      <c r="BQ78" s="278"/>
      <c r="BR78" s="279"/>
      <c r="BS78" s="227"/>
      <c r="BT78" s="280"/>
      <c r="BX78" s="227"/>
      <c r="BY78" s="227"/>
      <c r="BZ78" s="180"/>
      <c r="CA78" s="180"/>
      <c r="CB78" s="180"/>
      <c r="CC78" s="180"/>
    </row>
    <row r="79" spans="6:81" x14ac:dyDescent="0.2">
      <c r="H79" s="178">
        <v>73</v>
      </c>
      <c r="I79" s="470">
        <f t="shared" si="25"/>
        <v>0.219</v>
      </c>
      <c r="J79" s="225"/>
      <c r="K79" s="225"/>
      <c r="L79" s="225"/>
      <c r="M79" s="225"/>
      <c r="N79" s="275"/>
      <c r="O79" s="180"/>
      <c r="P79" s="225"/>
      <c r="Q79" s="456"/>
      <c r="S79" s="276"/>
      <c r="T79" s="276"/>
      <c r="U79" s="276"/>
      <c r="AJ79" s="456"/>
      <c r="AZ79" s="277"/>
      <c r="BJ79" s="227"/>
      <c r="BK79" s="227"/>
      <c r="BL79" s="227"/>
      <c r="BO79" s="180"/>
      <c r="BP79" s="227"/>
      <c r="BQ79" s="278"/>
      <c r="BR79" s="279"/>
      <c r="BS79" s="227"/>
      <c r="BT79" s="280"/>
      <c r="BX79" s="227"/>
      <c r="BY79" s="227"/>
      <c r="BZ79" s="180"/>
      <c r="CA79" s="180"/>
      <c r="CB79" s="180"/>
      <c r="CC79" s="180"/>
    </row>
    <row r="80" spans="6:81" x14ac:dyDescent="0.2">
      <c r="H80" s="178">
        <v>74</v>
      </c>
      <c r="I80" s="470">
        <f t="shared" si="25"/>
        <v>0.222</v>
      </c>
      <c r="J80" s="225"/>
      <c r="K80" s="225"/>
      <c r="L80" s="225"/>
      <c r="M80" s="225"/>
      <c r="N80" s="275"/>
      <c r="O80" s="180"/>
      <c r="P80" s="225"/>
      <c r="Q80" s="456"/>
      <c r="S80" s="276"/>
      <c r="T80" s="276"/>
      <c r="U80" s="276"/>
      <c r="AJ80" s="456"/>
      <c r="AZ80" s="277"/>
      <c r="BJ80" s="227"/>
      <c r="BK80" s="227"/>
      <c r="BL80" s="227"/>
      <c r="BO80" s="180"/>
      <c r="BP80" s="227"/>
      <c r="BQ80" s="278"/>
      <c r="BR80" s="279"/>
      <c r="BS80" s="227"/>
      <c r="BT80" s="280"/>
      <c r="BX80" s="227"/>
      <c r="BY80" s="227"/>
      <c r="BZ80" s="180"/>
      <c r="CA80" s="180"/>
      <c r="CB80" s="180"/>
      <c r="CC80" s="180"/>
    </row>
    <row r="81" spans="6:81" x14ac:dyDescent="0.2">
      <c r="H81" s="178">
        <v>75</v>
      </c>
      <c r="I81" s="470">
        <f t="shared" si="25"/>
        <v>0.22499999999999998</v>
      </c>
      <c r="J81" s="225"/>
      <c r="K81" s="225"/>
      <c r="L81" s="225"/>
      <c r="M81" s="225"/>
      <c r="N81" s="275"/>
      <c r="O81" s="180"/>
      <c r="P81" s="225"/>
      <c r="Q81" s="456"/>
      <c r="S81" s="276"/>
      <c r="T81" s="276"/>
      <c r="U81" s="276"/>
      <c r="AJ81" s="456"/>
      <c r="AZ81" s="277"/>
      <c r="BJ81" s="227"/>
      <c r="BK81" s="227"/>
      <c r="BL81" s="227"/>
      <c r="BO81" s="180"/>
      <c r="BP81" s="227"/>
      <c r="BQ81" s="278"/>
      <c r="BR81" s="279"/>
      <c r="BS81" s="227"/>
      <c r="BT81" s="280"/>
      <c r="BX81" s="227"/>
      <c r="BY81" s="227"/>
      <c r="BZ81" s="180"/>
      <c r="CA81" s="180"/>
      <c r="CB81" s="180"/>
      <c r="CC81" s="180"/>
    </row>
    <row r="82" spans="6:81" x14ac:dyDescent="0.2">
      <c r="H82" s="178">
        <v>76</v>
      </c>
      <c r="I82" s="470">
        <f t="shared" si="25"/>
        <v>0.22799999999999998</v>
      </c>
      <c r="J82" s="225"/>
      <c r="K82" s="225"/>
      <c r="L82" s="225"/>
      <c r="M82" s="225"/>
      <c r="N82" s="275"/>
      <c r="O82" s="180"/>
      <c r="P82" s="225"/>
      <c r="Q82" s="456"/>
      <c r="S82" s="276"/>
      <c r="T82" s="276"/>
      <c r="U82" s="276"/>
      <c r="AJ82" s="456"/>
      <c r="AZ82" s="277"/>
      <c r="BJ82" s="227"/>
      <c r="BK82" s="227"/>
      <c r="BL82" s="227"/>
      <c r="BO82" s="180"/>
      <c r="BP82" s="227"/>
      <c r="BQ82" s="278"/>
      <c r="BR82" s="279"/>
      <c r="BS82" s="227"/>
      <c r="BT82" s="280"/>
      <c r="BX82" s="227"/>
      <c r="BY82" s="227"/>
      <c r="BZ82" s="180"/>
      <c r="CA82" s="180"/>
      <c r="CB82" s="180"/>
      <c r="CC82" s="180"/>
    </row>
    <row r="83" spans="6:81" x14ac:dyDescent="0.2">
      <c r="H83" s="178">
        <v>77</v>
      </c>
      <c r="I83" s="470">
        <f t="shared" si="25"/>
        <v>0.23099999999999998</v>
      </c>
      <c r="J83" s="225"/>
      <c r="K83" s="225"/>
      <c r="L83" s="225"/>
      <c r="M83" s="225"/>
      <c r="N83" s="275"/>
      <c r="O83" s="180"/>
      <c r="P83" s="225"/>
      <c r="Q83" s="456"/>
      <c r="S83" s="276"/>
      <c r="T83" s="276"/>
      <c r="U83" s="276"/>
      <c r="AJ83" s="456"/>
      <c r="AZ83" s="277"/>
      <c r="BJ83" s="227"/>
      <c r="BK83" s="227"/>
      <c r="BL83" s="227"/>
      <c r="BO83" s="180"/>
      <c r="BP83" s="227"/>
      <c r="BQ83" s="278"/>
      <c r="BR83" s="279"/>
      <c r="BS83" s="227"/>
      <c r="BT83" s="280"/>
      <c r="BX83" s="227"/>
      <c r="BY83" s="227"/>
      <c r="BZ83" s="180"/>
      <c r="CA83" s="180"/>
      <c r="CB83" s="180"/>
      <c r="CC83" s="180"/>
    </row>
    <row r="84" spans="6:81" x14ac:dyDescent="0.2">
      <c r="H84" s="178">
        <v>78</v>
      </c>
      <c r="I84" s="470">
        <f t="shared" si="25"/>
        <v>0.23399999999999999</v>
      </c>
      <c r="J84" s="225"/>
      <c r="K84" s="225"/>
      <c r="L84" s="225"/>
      <c r="M84" s="225"/>
      <c r="N84" s="275"/>
      <c r="O84" s="180"/>
      <c r="P84" s="225"/>
      <c r="Q84" s="456"/>
      <c r="S84" s="276"/>
      <c r="T84" s="276"/>
      <c r="U84" s="276"/>
      <c r="AJ84" s="456"/>
      <c r="AZ84" s="277"/>
      <c r="BJ84" s="227"/>
      <c r="BK84" s="227"/>
      <c r="BL84" s="227"/>
      <c r="BO84" s="180"/>
      <c r="BP84" s="227"/>
      <c r="BQ84" s="278"/>
      <c r="BR84" s="279"/>
      <c r="BS84" s="227"/>
      <c r="BT84" s="280"/>
      <c r="BX84" s="227"/>
      <c r="BY84" s="227"/>
      <c r="BZ84" s="180"/>
      <c r="CA84" s="180"/>
      <c r="CB84" s="180"/>
      <c r="CC84" s="180"/>
    </row>
    <row r="85" spans="6:81" x14ac:dyDescent="0.2">
      <c r="H85" s="178">
        <v>79</v>
      </c>
      <c r="I85" s="470">
        <f t="shared" si="25"/>
        <v>0.23699999999999999</v>
      </c>
      <c r="J85" s="225"/>
      <c r="K85" s="225"/>
      <c r="L85" s="225"/>
      <c r="M85" s="225"/>
      <c r="N85" s="275"/>
      <c r="O85" s="180"/>
      <c r="P85" s="225"/>
      <c r="Q85" s="456"/>
      <c r="S85" s="276"/>
      <c r="T85" s="276"/>
      <c r="U85" s="276"/>
      <c r="AJ85" s="456"/>
      <c r="AZ85" s="277"/>
      <c r="BJ85" s="227"/>
      <c r="BK85" s="227"/>
      <c r="BL85" s="227"/>
      <c r="BO85" s="180"/>
      <c r="BP85" s="227"/>
      <c r="BQ85" s="278"/>
      <c r="BR85" s="279"/>
      <c r="BS85" s="227"/>
      <c r="BT85" s="280"/>
      <c r="BX85" s="227"/>
      <c r="BY85" s="227"/>
      <c r="BZ85" s="180"/>
      <c r="CA85" s="180"/>
      <c r="CB85" s="180"/>
      <c r="CC85" s="180"/>
    </row>
    <row r="86" spans="6:81" x14ac:dyDescent="0.2">
      <c r="H86" s="178">
        <v>80</v>
      </c>
      <c r="I86" s="470">
        <f t="shared" si="25"/>
        <v>0.24</v>
      </c>
      <c r="J86" s="225"/>
      <c r="K86" s="225"/>
      <c r="L86" s="225"/>
      <c r="M86" s="225"/>
      <c r="N86" s="275"/>
      <c r="O86" s="180"/>
      <c r="P86" s="225"/>
      <c r="Q86" s="456"/>
      <c r="S86" s="276"/>
      <c r="T86" s="276"/>
      <c r="U86" s="276"/>
      <c r="AJ86" s="456"/>
      <c r="AZ86" s="277"/>
      <c r="BJ86" s="227"/>
      <c r="BK86" s="227"/>
      <c r="BL86" s="227"/>
      <c r="BO86" s="180"/>
      <c r="BP86" s="227"/>
      <c r="BQ86" s="278"/>
      <c r="BR86" s="279"/>
      <c r="BS86" s="227"/>
      <c r="BT86" s="280"/>
      <c r="BX86" s="227"/>
      <c r="BY86" s="227"/>
      <c r="BZ86" s="180"/>
      <c r="CA86" s="180"/>
      <c r="CB86" s="180"/>
      <c r="CC86" s="180"/>
    </row>
    <row r="87" spans="6:81" x14ac:dyDescent="0.2">
      <c r="H87" s="178">
        <v>81</v>
      </c>
      <c r="I87" s="470">
        <f t="shared" si="25"/>
        <v>0.24299999999999999</v>
      </c>
      <c r="J87" s="225"/>
      <c r="K87" s="225"/>
      <c r="L87" s="225"/>
      <c r="M87" s="225"/>
      <c r="N87" s="275"/>
      <c r="O87" s="180"/>
      <c r="P87" s="225"/>
      <c r="Q87" s="456"/>
      <c r="S87" s="276"/>
      <c r="T87" s="276"/>
      <c r="U87" s="276"/>
      <c r="AJ87" s="456"/>
      <c r="AZ87" s="277"/>
      <c r="BJ87" s="227"/>
      <c r="BK87" s="227"/>
      <c r="BL87" s="227"/>
      <c r="BO87" s="180"/>
      <c r="BP87" s="227"/>
      <c r="BQ87" s="278"/>
      <c r="BR87" s="279"/>
      <c r="BS87" s="227"/>
      <c r="BT87" s="280"/>
      <c r="BX87" s="227"/>
      <c r="BY87" s="227"/>
      <c r="BZ87" s="180"/>
      <c r="CA87" s="180"/>
      <c r="CB87" s="180"/>
      <c r="CC87" s="180"/>
    </row>
    <row r="88" spans="6:81" x14ac:dyDescent="0.2">
      <c r="F88" s="333" t="s">
        <v>275</v>
      </c>
      <c r="G88" s="333" t="s">
        <v>276</v>
      </c>
      <c r="H88" s="178">
        <v>82</v>
      </c>
      <c r="I88" s="470">
        <f t="shared" si="25"/>
        <v>0.24599999999999997</v>
      </c>
      <c r="J88" s="225"/>
      <c r="K88" s="225"/>
      <c r="L88" s="225"/>
      <c r="M88" s="225"/>
      <c r="N88" s="275"/>
      <c r="O88" s="180"/>
      <c r="P88" s="225"/>
      <c r="Q88" s="456"/>
      <c r="S88" s="276"/>
      <c r="T88" s="276"/>
      <c r="U88" s="276"/>
      <c r="AJ88" s="456"/>
      <c r="AZ88" s="277"/>
      <c r="BJ88" s="227"/>
      <c r="BK88" s="227"/>
      <c r="BL88" s="227"/>
      <c r="BO88" s="180"/>
      <c r="BP88" s="227"/>
      <c r="BQ88" s="278"/>
      <c r="BR88" s="279"/>
      <c r="BS88" s="227"/>
      <c r="BT88" s="280"/>
      <c r="BX88" s="227"/>
      <c r="BY88" s="227"/>
      <c r="BZ88" s="180"/>
      <c r="CA88" s="180"/>
      <c r="CB88" s="180"/>
      <c r="CC88" s="180"/>
    </row>
    <row r="89" spans="6:81" x14ac:dyDescent="0.2">
      <c r="F89" s="334">
        <f>BO51</f>
        <v>0</v>
      </c>
      <c r="G89" s="335">
        <f>I56*1000</f>
        <v>150</v>
      </c>
      <c r="H89" s="178">
        <v>83</v>
      </c>
      <c r="I89" s="470">
        <f t="shared" si="25"/>
        <v>0.24899999999999997</v>
      </c>
      <c r="J89" s="225"/>
      <c r="K89" s="225"/>
      <c r="L89" s="225"/>
      <c r="M89" s="225"/>
      <c r="N89" s="275"/>
      <c r="O89" s="180"/>
      <c r="P89" s="225"/>
      <c r="Q89" s="456"/>
      <c r="S89" s="276"/>
      <c r="T89" s="276"/>
      <c r="U89" s="276"/>
      <c r="AJ89" s="456"/>
      <c r="AZ89" s="277"/>
      <c r="BJ89" s="227"/>
      <c r="BK89" s="227"/>
      <c r="BL89" s="227"/>
      <c r="BO89" s="180"/>
      <c r="BP89" s="227"/>
      <c r="BQ89" s="278"/>
      <c r="BR89" s="279"/>
      <c r="BS89" s="227"/>
      <c r="BT89" s="280"/>
      <c r="BX89" s="227"/>
      <c r="BY89" s="227"/>
      <c r="BZ89" s="180"/>
      <c r="CA89" s="180"/>
      <c r="CB89" s="180"/>
      <c r="CC89" s="180"/>
    </row>
    <row r="90" spans="6:81" x14ac:dyDescent="0.2">
      <c r="F90" s="334">
        <f>BO81</f>
        <v>0</v>
      </c>
      <c r="G90" s="335">
        <f>I81*1000</f>
        <v>224.99999999999997</v>
      </c>
      <c r="H90" s="178">
        <v>84</v>
      </c>
      <c r="I90" s="470">
        <f t="shared" si="25"/>
        <v>0.252</v>
      </c>
      <c r="J90" s="225"/>
      <c r="K90" s="225"/>
      <c r="L90" s="225"/>
      <c r="M90" s="225"/>
      <c r="N90" s="275"/>
      <c r="O90" s="180"/>
      <c r="P90" s="225"/>
      <c r="Q90" s="456"/>
      <c r="S90" s="276"/>
      <c r="T90" s="276"/>
      <c r="U90" s="276"/>
      <c r="AJ90" s="456"/>
      <c r="AZ90" s="277"/>
      <c r="BJ90" s="227"/>
      <c r="BK90" s="227"/>
      <c r="BL90" s="227"/>
      <c r="BO90" s="180"/>
      <c r="BP90" s="227"/>
      <c r="BQ90" s="278"/>
      <c r="BR90" s="279"/>
      <c r="BS90" s="227"/>
      <c r="BT90" s="280"/>
      <c r="BX90" s="227"/>
      <c r="BY90" s="227"/>
      <c r="BZ90" s="180"/>
      <c r="CA90" s="180"/>
      <c r="CB90" s="180"/>
      <c r="CC90" s="180"/>
    </row>
    <row r="91" spans="6:81" x14ac:dyDescent="0.2">
      <c r="F91" s="334">
        <f>BO106</f>
        <v>88.698181382326453</v>
      </c>
      <c r="G91" s="335">
        <f>I106*1000</f>
        <v>300</v>
      </c>
      <c r="H91" s="178">
        <v>85</v>
      </c>
      <c r="I91" s="470">
        <f t="shared" si="25"/>
        <v>0.255</v>
      </c>
      <c r="J91" s="225"/>
      <c r="K91" s="225"/>
      <c r="L91" s="225"/>
      <c r="M91" s="225"/>
      <c r="N91" s="275"/>
      <c r="O91" s="180"/>
      <c r="P91" s="225"/>
      <c r="Q91" s="456"/>
      <c r="S91" s="276"/>
      <c r="T91" s="276"/>
      <c r="U91" s="276"/>
      <c r="AJ91" s="456"/>
      <c r="AZ91" s="277"/>
      <c r="BJ91" s="227"/>
      <c r="BK91" s="227"/>
      <c r="BL91" s="227"/>
      <c r="BO91" s="180"/>
      <c r="BP91" s="227"/>
      <c r="BQ91" s="278"/>
      <c r="BR91" s="279"/>
      <c r="BS91" s="227"/>
      <c r="BT91" s="280"/>
      <c r="BX91" s="227"/>
      <c r="BY91" s="227"/>
      <c r="BZ91" s="180"/>
      <c r="CA91" s="180"/>
      <c r="CB91" s="180"/>
      <c r="CC91" s="180"/>
    </row>
    <row r="92" spans="6:81" x14ac:dyDescent="0.2">
      <c r="H92" s="178">
        <v>86</v>
      </c>
      <c r="I92" s="470">
        <f t="shared" si="25"/>
        <v>0.25800000000000001</v>
      </c>
      <c r="J92" s="225"/>
      <c r="K92" s="225"/>
      <c r="L92" s="225"/>
      <c r="M92" s="225"/>
      <c r="N92" s="275"/>
      <c r="O92" s="180"/>
      <c r="P92" s="225"/>
      <c r="Q92" s="456"/>
      <c r="S92" s="276"/>
      <c r="T92" s="276"/>
      <c r="U92" s="276"/>
      <c r="AJ92" s="456"/>
      <c r="AZ92" s="277"/>
      <c r="BJ92" s="227"/>
      <c r="BK92" s="227"/>
      <c r="BL92" s="227"/>
      <c r="BO92" s="180"/>
      <c r="BP92" s="227"/>
      <c r="BQ92" s="278"/>
      <c r="BR92" s="279"/>
      <c r="BS92" s="227"/>
      <c r="BT92" s="280"/>
      <c r="BX92" s="227"/>
      <c r="BY92" s="227"/>
      <c r="BZ92" s="180"/>
      <c r="CA92" s="180"/>
      <c r="CB92" s="180"/>
      <c r="CC92" s="180"/>
    </row>
    <row r="93" spans="6:81" x14ac:dyDescent="0.2">
      <c r="H93" s="178">
        <v>87</v>
      </c>
      <c r="I93" s="470">
        <f t="shared" si="25"/>
        <v>0.26100000000000001</v>
      </c>
      <c r="J93" s="225"/>
      <c r="K93" s="225"/>
      <c r="L93" s="225"/>
      <c r="M93" s="225"/>
      <c r="N93" s="275"/>
      <c r="O93" s="180"/>
      <c r="P93" s="225"/>
      <c r="Q93" s="456"/>
      <c r="S93" s="276"/>
      <c r="T93" s="276"/>
      <c r="U93" s="276"/>
      <c r="AJ93" s="456"/>
      <c r="AZ93" s="277"/>
      <c r="BJ93" s="227"/>
      <c r="BK93" s="227"/>
      <c r="BL93" s="227"/>
      <c r="BO93" s="180"/>
      <c r="BP93" s="227"/>
      <c r="BQ93" s="278"/>
      <c r="BR93" s="279"/>
      <c r="BS93" s="227"/>
      <c r="BT93" s="280"/>
      <c r="BX93" s="227"/>
      <c r="BY93" s="227"/>
      <c r="BZ93" s="180"/>
      <c r="CA93" s="180"/>
      <c r="CB93" s="180"/>
      <c r="CC93" s="180"/>
    </row>
    <row r="94" spans="6:81" x14ac:dyDescent="0.2">
      <c r="H94" s="178">
        <v>88</v>
      </c>
      <c r="I94" s="470">
        <f t="shared" si="25"/>
        <v>0.26400000000000001</v>
      </c>
      <c r="J94" s="225"/>
      <c r="K94" s="225"/>
      <c r="L94" s="225"/>
      <c r="M94" s="225"/>
      <c r="N94" s="275"/>
      <c r="O94" s="180"/>
      <c r="P94" s="225"/>
      <c r="Q94" s="456"/>
      <c r="S94" s="276"/>
      <c r="T94" s="276"/>
      <c r="U94" s="276"/>
      <c r="AJ94" s="456"/>
      <c r="AZ94" s="277"/>
      <c r="BJ94" s="227"/>
      <c r="BK94" s="227"/>
      <c r="BL94" s="227"/>
      <c r="BO94" s="180"/>
      <c r="BP94" s="227"/>
      <c r="BQ94" s="278"/>
      <c r="BR94" s="279"/>
      <c r="BS94" s="227"/>
      <c r="BT94" s="280"/>
      <c r="BX94" s="227"/>
      <c r="BY94" s="227"/>
      <c r="BZ94" s="180"/>
      <c r="CA94" s="180"/>
      <c r="CB94" s="180"/>
      <c r="CC94" s="180"/>
    </row>
    <row r="95" spans="6:81" x14ac:dyDescent="0.2">
      <c r="H95" s="178">
        <v>89</v>
      </c>
      <c r="I95" s="470">
        <f t="shared" si="25"/>
        <v>0.26700000000000002</v>
      </c>
      <c r="J95" s="225"/>
      <c r="K95" s="225"/>
      <c r="L95" s="225"/>
      <c r="M95" s="225"/>
      <c r="N95" s="275"/>
      <c r="O95" s="180"/>
      <c r="P95" s="225"/>
      <c r="Q95" s="456"/>
      <c r="S95" s="276"/>
      <c r="T95" s="276"/>
      <c r="U95" s="276"/>
      <c r="AJ95" s="456"/>
      <c r="AZ95" s="277"/>
      <c r="BJ95" s="227"/>
      <c r="BK95" s="227"/>
      <c r="BL95" s="227"/>
      <c r="BO95" s="180"/>
      <c r="BP95" s="227"/>
      <c r="BQ95" s="278"/>
      <c r="BR95" s="279"/>
      <c r="BS95" s="227"/>
      <c r="BT95" s="280"/>
      <c r="BX95" s="227"/>
      <c r="BY95" s="227"/>
      <c r="BZ95" s="180"/>
      <c r="CA95" s="180"/>
      <c r="CB95" s="180"/>
      <c r="CC95" s="180"/>
    </row>
    <row r="96" spans="6:81" x14ac:dyDescent="0.2">
      <c r="H96" s="178">
        <v>90</v>
      </c>
      <c r="I96" s="470">
        <f t="shared" si="25"/>
        <v>0.27</v>
      </c>
      <c r="J96" s="225"/>
      <c r="K96" s="225"/>
      <c r="L96" s="225"/>
      <c r="M96" s="225"/>
      <c r="N96" s="275"/>
      <c r="O96" s="180"/>
      <c r="P96" s="225"/>
      <c r="Q96" s="456"/>
      <c r="S96" s="276"/>
      <c r="T96" s="276"/>
      <c r="U96" s="276"/>
      <c r="AJ96" s="456"/>
      <c r="AZ96" s="277"/>
      <c r="BJ96" s="227"/>
      <c r="BK96" s="227"/>
      <c r="BL96" s="227"/>
      <c r="BO96" s="180"/>
      <c r="BP96" s="227"/>
      <c r="BQ96" s="278"/>
      <c r="BR96" s="279"/>
      <c r="BS96" s="227"/>
      <c r="BT96" s="280"/>
      <c r="BX96" s="227"/>
      <c r="BY96" s="227"/>
      <c r="BZ96" s="180"/>
      <c r="CA96" s="180"/>
      <c r="CB96" s="180"/>
      <c r="CC96" s="180"/>
    </row>
    <row r="97" spans="8:81" x14ac:dyDescent="0.2">
      <c r="H97" s="178">
        <v>91</v>
      </c>
      <c r="I97" s="470">
        <f t="shared" si="25"/>
        <v>0.27300000000000002</v>
      </c>
      <c r="J97" s="225"/>
      <c r="K97" s="225"/>
      <c r="L97" s="225"/>
      <c r="M97" s="225"/>
      <c r="N97" s="275"/>
      <c r="O97" s="180"/>
      <c r="P97" s="225"/>
      <c r="Q97" s="456"/>
      <c r="S97" s="276"/>
      <c r="T97" s="276"/>
      <c r="U97" s="276"/>
      <c r="AJ97" s="456"/>
      <c r="AZ97" s="277"/>
      <c r="BJ97" s="227"/>
      <c r="BK97" s="227"/>
      <c r="BL97" s="227"/>
      <c r="BO97" s="180"/>
      <c r="BP97" s="227"/>
      <c r="BQ97" s="278"/>
      <c r="BR97" s="279"/>
      <c r="BS97" s="227"/>
      <c r="BT97" s="280"/>
      <c r="BX97" s="227"/>
      <c r="BY97" s="227"/>
      <c r="BZ97" s="180"/>
      <c r="CA97" s="180"/>
      <c r="CB97" s="180"/>
      <c r="CC97" s="180"/>
    </row>
    <row r="98" spans="8:81" x14ac:dyDescent="0.2">
      <c r="H98" s="178">
        <v>92</v>
      </c>
      <c r="I98" s="470">
        <f t="shared" si="25"/>
        <v>0.27600000000000002</v>
      </c>
      <c r="J98" s="225"/>
      <c r="K98" s="225"/>
      <c r="L98" s="225"/>
      <c r="M98" s="225"/>
      <c r="N98" s="275"/>
      <c r="O98" s="180"/>
      <c r="P98" s="225"/>
      <c r="Q98" s="456"/>
      <c r="S98" s="276"/>
      <c r="T98" s="276"/>
      <c r="U98" s="276"/>
      <c r="AJ98" s="456"/>
      <c r="AZ98" s="277"/>
      <c r="BJ98" s="227"/>
      <c r="BK98" s="227"/>
      <c r="BL98" s="227"/>
      <c r="BO98" s="180"/>
      <c r="BP98" s="227"/>
      <c r="BQ98" s="278"/>
      <c r="BR98" s="279"/>
      <c r="BS98" s="227"/>
      <c r="BT98" s="280"/>
      <c r="BX98" s="227"/>
      <c r="BY98" s="227"/>
      <c r="BZ98" s="180"/>
      <c r="CA98" s="180"/>
      <c r="CB98" s="180"/>
      <c r="CC98" s="180"/>
    </row>
    <row r="99" spans="8:81" x14ac:dyDescent="0.2">
      <c r="H99" s="178">
        <v>93</v>
      </c>
      <c r="I99" s="470">
        <f t="shared" si="25"/>
        <v>0.27900000000000003</v>
      </c>
      <c r="J99" s="225"/>
      <c r="K99" s="225"/>
      <c r="L99" s="225"/>
      <c r="M99" s="225"/>
      <c r="N99" s="275"/>
      <c r="O99" s="180"/>
      <c r="P99" s="225"/>
      <c r="Q99" s="456"/>
      <c r="S99" s="276"/>
      <c r="T99" s="276"/>
      <c r="U99" s="276"/>
      <c r="AJ99" s="456"/>
      <c r="AZ99" s="277"/>
      <c r="BJ99" s="227"/>
      <c r="BK99" s="227"/>
      <c r="BL99" s="227"/>
      <c r="BO99" s="180"/>
      <c r="BP99" s="227"/>
      <c r="BQ99" s="278"/>
      <c r="BR99" s="279"/>
      <c r="BS99" s="227"/>
      <c r="BT99" s="280"/>
      <c r="BX99" s="227"/>
      <c r="BY99" s="227"/>
      <c r="BZ99" s="180"/>
      <c r="CA99" s="180"/>
      <c r="CB99" s="180"/>
      <c r="CC99" s="180"/>
    </row>
    <row r="100" spans="8:81" x14ac:dyDescent="0.2">
      <c r="H100" s="178">
        <v>94</v>
      </c>
      <c r="I100" s="470">
        <f t="shared" si="25"/>
        <v>0.28199999999999997</v>
      </c>
      <c r="J100" s="225"/>
      <c r="K100" s="225"/>
      <c r="L100" s="225"/>
      <c r="M100" s="225"/>
      <c r="N100" s="275"/>
      <c r="O100" s="180"/>
      <c r="P100" s="225"/>
      <c r="Q100" s="456"/>
      <c r="S100" s="276"/>
      <c r="T100" s="276"/>
      <c r="U100" s="276"/>
      <c r="AJ100" s="456"/>
      <c r="AZ100" s="277"/>
      <c r="BJ100" s="227"/>
      <c r="BK100" s="227"/>
      <c r="BL100" s="227"/>
      <c r="BO100" s="180"/>
      <c r="BP100" s="227"/>
      <c r="BQ100" s="278"/>
      <c r="BR100" s="279"/>
      <c r="BS100" s="227"/>
      <c r="BT100" s="280"/>
      <c r="BX100" s="227"/>
      <c r="BY100" s="227"/>
      <c r="BZ100" s="180"/>
      <c r="CA100" s="180"/>
      <c r="CB100" s="180"/>
      <c r="CC100" s="180"/>
    </row>
    <row r="101" spans="8:81" x14ac:dyDescent="0.2">
      <c r="H101" s="178">
        <v>95</v>
      </c>
      <c r="I101" s="470">
        <f t="shared" si="25"/>
        <v>0.28499999999999998</v>
      </c>
      <c r="J101" s="225"/>
      <c r="K101" s="225"/>
      <c r="L101" s="225"/>
      <c r="M101" s="225"/>
      <c r="N101" s="275"/>
      <c r="O101" s="180"/>
      <c r="P101" s="225"/>
      <c r="Q101" s="456"/>
      <c r="S101" s="276"/>
      <c r="T101" s="276"/>
      <c r="U101" s="276"/>
      <c r="AJ101" s="456"/>
      <c r="AZ101" s="277"/>
      <c r="BJ101" s="227"/>
      <c r="BK101" s="227"/>
      <c r="BL101" s="227"/>
      <c r="BO101" s="180"/>
      <c r="BP101" s="227"/>
      <c r="BQ101" s="278"/>
      <c r="BR101" s="279"/>
      <c r="BS101" s="227"/>
      <c r="BT101" s="280"/>
      <c r="BX101" s="227"/>
      <c r="BY101" s="227"/>
      <c r="BZ101" s="180"/>
      <c r="CA101" s="180"/>
      <c r="CB101" s="180"/>
      <c r="CC101" s="180"/>
    </row>
    <row r="102" spans="8:81" x14ac:dyDescent="0.2">
      <c r="H102" s="178">
        <v>96</v>
      </c>
      <c r="I102" s="470">
        <f t="shared" ref="I102:I106" si="26">IF(PLOT_TYPE=1, H102/100*Iout_max, min_I*EXP(H102*rr/100))</f>
        <v>0.28799999999999998</v>
      </c>
      <c r="J102" s="225"/>
      <c r="K102" s="225"/>
      <c r="L102" s="225"/>
      <c r="M102" s="225"/>
      <c r="N102" s="275"/>
      <c r="O102" s="180"/>
      <c r="P102" s="225"/>
      <c r="Q102" s="456"/>
      <c r="S102" s="276"/>
      <c r="T102" s="276"/>
      <c r="U102" s="276"/>
      <c r="AJ102" s="456"/>
      <c r="AZ102" s="277"/>
      <c r="BJ102" s="227"/>
      <c r="BK102" s="227"/>
      <c r="BL102" s="227"/>
      <c r="BO102" s="180"/>
      <c r="BP102" s="227"/>
      <c r="BQ102" s="278"/>
      <c r="BR102" s="279"/>
      <c r="BS102" s="227"/>
      <c r="BT102" s="280"/>
      <c r="BX102" s="227"/>
      <c r="BY102" s="227"/>
      <c r="BZ102" s="180"/>
      <c r="CA102" s="180"/>
      <c r="CB102" s="180"/>
      <c r="CC102" s="180"/>
    </row>
    <row r="103" spans="8:81" x14ac:dyDescent="0.2">
      <c r="H103" s="178">
        <v>97</v>
      </c>
      <c r="I103" s="470">
        <f t="shared" si="26"/>
        <v>0.29099999999999998</v>
      </c>
      <c r="J103" s="225"/>
      <c r="K103" s="225"/>
      <c r="L103" s="225"/>
      <c r="M103" s="225"/>
      <c r="N103" s="275"/>
      <c r="O103" s="180"/>
      <c r="P103" s="225"/>
      <c r="Q103" s="456"/>
      <c r="S103" s="276"/>
      <c r="T103" s="276"/>
      <c r="U103" s="276"/>
      <c r="AJ103" s="456"/>
      <c r="AZ103" s="277"/>
      <c r="BJ103" s="227"/>
      <c r="BK103" s="227"/>
      <c r="BL103" s="227"/>
      <c r="BO103" s="180"/>
      <c r="BP103" s="227"/>
      <c r="BQ103" s="278"/>
      <c r="BR103" s="279"/>
      <c r="BS103" s="227"/>
      <c r="BT103" s="280"/>
      <c r="BX103" s="227"/>
      <c r="BY103" s="227"/>
      <c r="BZ103" s="180"/>
      <c r="CA103" s="180"/>
      <c r="CB103" s="180"/>
      <c r="CC103" s="180"/>
    </row>
    <row r="104" spans="8:81" x14ac:dyDescent="0.2">
      <c r="H104" s="178">
        <v>98</v>
      </c>
      <c r="I104" s="470">
        <f t="shared" si="26"/>
        <v>0.29399999999999998</v>
      </c>
      <c r="J104" s="225"/>
      <c r="K104" s="225"/>
      <c r="L104" s="225"/>
      <c r="M104" s="225"/>
      <c r="N104" s="275"/>
      <c r="O104" s="180"/>
      <c r="P104" s="225"/>
      <c r="Q104" s="456"/>
      <c r="S104" s="276"/>
      <c r="T104" s="276"/>
      <c r="U104" s="276"/>
      <c r="AJ104" s="456"/>
      <c r="AZ104" s="277"/>
      <c r="BJ104" s="227"/>
      <c r="BK104" s="227"/>
      <c r="BL104" s="227"/>
      <c r="BO104" s="180"/>
      <c r="BP104" s="227"/>
      <c r="BQ104" s="278"/>
      <c r="BR104" s="279"/>
      <c r="BS104" s="227"/>
      <c r="BT104" s="280"/>
      <c r="BX104" s="227"/>
      <c r="BY104" s="227"/>
      <c r="BZ104" s="180"/>
      <c r="CA104" s="180"/>
      <c r="CB104" s="180"/>
      <c r="CC104" s="180"/>
    </row>
    <row r="105" spans="8:81" x14ac:dyDescent="0.2">
      <c r="H105" s="178">
        <v>99</v>
      </c>
      <c r="I105" s="470">
        <f t="shared" si="26"/>
        <v>0.29699999999999999</v>
      </c>
      <c r="J105" s="225"/>
      <c r="K105" s="225"/>
      <c r="L105" s="225"/>
      <c r="M105" s="225"/>
      <c r="N105" s="275"/>
      <c r="O105" s="180"/>
      <c r="P105" s="225"/>
      <c r="Q105" s="456"/>
      <c r="S105" s="276"/>
      <c r="T105" s="276"/>
      <c r="U105" s="276"/>
      <c r="AJ105" s="456"/>
      <c r="AZ105" s="277"/>
      <c r="BJ105" s="227"/>
      <c r="BK105" s="227"/>
      <c r="BL105" s="227"/>
      <c r="BO105" s="180"/>
      <c r="BP105" s="227"/>
      <c r="BQ105" s="278"/>
      <c r="BR105" s="279"/>
      <c r="BS105" s="227"/>
      <c r="BT105" s="280"/>
      <c r="BX105" s="227"/>
      <c r="BY105" s="227"/>
      <c r="BZ105" s="180"/>
      <c r="CA105" s="180"/>
      <c r="CB105" s="180"/>
      <c r="CC105" s="180"/>
    </row>
    <row r="106" spans="8:81" x14ac:dyDescent="0.2">
      <c r="H106" s="178">
        <v>100</v>
      </c>
      <c r="I106" s="470">
        <f t="shared" si="26"/>
        <v>0.3</v>
      </c>
      <c r="J106" s="225"/>
      <c r="K106" s="225"/>
      <c r="L106" s="225"/>
      <c r="M106" s="225"/>
      <c r="N106" s="275"/>
      <c r="O106" s="180"/>
      <c r="P106" s="225"/>
      <c r="Q106" s="456"/>
      <c r="S106" s="276"/>
      <c r="T106" s="276"/>
      <c r="U106" s="276"/>
      <c r="AJ106" s="456"/>
      <c r="AY106" s="224">
        <f>Vout*I106</f>
        <v>4.5</v>
      </c>
      <c r="AZ106" s="277">
        <f t="shared" ref="AZ106" si="27">AY106/(AY106+AX106)</f>
        <v>1</v>
      </c>
      <c r="BA106" s="353">
        <f t="shared" ref="BA106" si="28">AG106/($AY106+$AX106)</f>
        <v>0</v>
      </c>
      <c r="BB106" s="353">
        <f t="shared" ref="BB106" si="29">AO106/($AY106+$AX106)</f>
        <v>0</v>
      </c>
      <c r="BC106" s="353" t="e">
        <f t="shared" ref="BC106" si="30">Vin*R106*(QgBot+Qg)/($AY106+$AX106)</f>
        <v>#NAME?</v>
      </c>
      <c r="BD106" s="353">
        <f t="shared" ref="BD106" si="31">AK106/($AY106+$AX106)</f>
        <v>0</v>
      </c>
      <c r="BE106" s="353">
        <f t="shared" ref="BE106" si="32">AQ106/(AX106+AY106)</f>
        <v>0</v>
      </c>
      <c r="BF106" s="353">
        <f t="shared" ref="BF106" si="33">AR106/($AY106+$AX106)</f>
        <v>0</v>
      </c>
      <c r="BG106" s="353">
        <f t="shared" ref="BG106" si="34">W106/($AY106+$AX106)</f>
        <v>0</v>
      </c>
      <c r="BH106" s="353">
        <f t="shared" ref="BH106" si="35">X106/($AY106+$AX106)</f>
        <v>0</v>
      </c>
      <c r="BI106" s="353">
        <f t="shared" ref="BI106" si="36">(AB106+AE106)/($AY106+$AX106)</f>
        <v>0</v>
      </c>
      <c r="BJ106" s="227">
        <f t="shared" ref="BJ106" si="37">AT106/($AY106+$AX106)</f>
        <v>0</v>
      </c>
      <c r="BK106" s="227">
        <f t="shared" ref="BK106" si="38">AX106/($AY106+$AX106)</f>
        <v>0</v>
      </c>
      <c r="BL106" s="227">
        <f t="shared" ref="BL106" si="39">AZ106</f>
        <v>1</v>
      </c>
      <c r="BM106" s="180">
        <f t="shared" ref="BM106" si="40">100*BL106</f>
        <v>100</v>
      </c>
      <c r="BN106" s="225">
        <f xml:space="preserve"> CHOOSE(MODE, I106*1000,#REF!)</f>
        <v>300</v>
      </c>
      <c r="BO106" s="180">
        <v>88.698181382326453</v>
      </c>
      <c r="BP106" s="227">
        <f t="shared" ref="BP106" si="41">BO106/100</f>
        <v>0.88698181382326458</v>
      </c>
      <c r="BQ106" s="278">
        <f t="shared" ref="BQ106" si="42">R106/1000</f>
        <v>0</v>
      </c>
      <c r="BR106" s="279"/>
      <c r="BS106" s="227">
        <f t="shared" ref="BS106" si="43">AL106/($AY106+$AX106)</f>
        <v>0</v>
      </c>
      <c r="BT106" s="280"/>
      <c r="BU106" s="180">
        <f t="shared" ref="BU106" si="44">1000*AW106</f>
        <v>0</v>
      </c>
      <c r="BV106" s="180">
        <f t="shared" ref="BV106" si="45">1000*AU106</f>
        <v>0</v>
      </c>
      <c r="BW106" s="180">
        <f t="shared" ref="BW106" si="46">1000*Y106</f>
        <v>0</v>
      </c>
      <c r="BX106" s="227"/>
      <c r="BY106" s="227"/>
      <c r="BZ106" s="180">
        <f xml:space="preserve"> IF(MODE=1, BM106,#REF!)</f>
        <v>100</v>
      </c>
      <c r="CA106" s="180">
        <f xml:space="preserve"> IF(MODE=1, BU106,#REF!)</f>
        <v>0</v>
      </c>
      <c r="CB106" s="180">
        <f xml:space="preserve"> IF(MODE=1, BV106,#REF!)</f>
        <v>0</v>
      </c>
      <c r="CC106" s="180">
        <f xml:space="preserve"> IF(MODE=1, BW106,#REF!)</f>
        <v>0</v>
      </c>
    </row>
    <row r="107" spans="8:81" x14ac:dyDescent="0.2">
      <c r="BQ107" s="278"/>
      <c r="BR107" s="279"/>
      <c r="BS107" s="279"/>
      <c r="BT107" s="280"/>
      <c r="BX107" s="227"/>
      <c r="BY107" s="227"/>
    </row>
    <row r="108" spans="8:81" x14ac:dyDescent="0.2">
      <c r="H108" s="336">
        <v>1.0000000000000001E-5</v>
      </c>
      <c r="I108" s="337" t="s">
        <v>1</v>
      </c>
      <c r="J108" s="338" t="s">
        <v>277</v>
      </c>
      <c r="AG108" s="224">
        <v>4.9516878778202269E-3</v>
      </c>
      <c r="AH108" s="224">
        <v>3.7188236700537959E-3</v>
      </c>
      <c r="AI108">
        <v>20</v>
      </c>
      <c r="AJ108" s="224">
        <v>18.943591787921068</v>
      </c>
      <c r="AK108" s="224">
        <v>4.1453367485397245E-3</v>
      </c>
      <c r="AL108" s="224">
        <v>7.1640215182307235E-3</v>
      </c>
      <c r="AN108" s="224">
        <v>9.1940431932401354E-2</v>
      </c>
      <c r="AO108" s="224">
        <v>8.4530430239165271E-3</v>
      </c>
      <c r="AP108" s="224">
        <v>9.3281530185295868E-4</v>
      </c>
      <c r="AQ108" s="224">
        <v>9.1178757202630047E-3</v>
      </c>
      <c r="AR108" s="224">
        <v>1.2140752334887425E-3</v>
      </c>
      <c r="AS108" s="224">
        <v>1.8784993977668273E-2</v>
      </c>
      <c r="AZ108" s="340" t="s">
        <v>281</v>
      </c>
      <c r="BA108" s="360">
        <v>3.6409104085968987E-3</v>
      </c>
      <c r="BB108" s="360">
        <v>6.5692245841190103E-3</v>
      </c>
      <c r="BC108" s="360">
        <v>5.4394694205683519E-2</v>
      </c>
      <c r="BD108" s="360">
        <v>4.5907837520612008E-3</v>
      </c>
      <c r="BE108" s="360">
        <v>0</v>
      </c>
      <c r="BF108" s="360">
        <v>7.3751579484765363E-4</v>
      </c>
      <c r="BG108" s="360">
        <v>7.2151246180390156E-3</v>
      </c>
      <c r="BH108" s="360">
        <v>1.4929120352630757E-2</v>
      </c>
      <c r="BI108" s="360">
        <v>5.5024434421027814E-6</v>
      </c>
      <c r="BJ108" s="360">
        <v>8.2551506228875166E-2</v>
      </c>
    </row>
    <row r="109" spans="8:81" x14ac:dyDescent="0.2">
      <c r="H109" s="339">
        <f>Iout_max</f>
        <v>0.3</v>
      </c>
      <c r="I109" s="337" t="s">
        <v>1</v>
      </c>
      <c r="J109" s="338" t="s">
        <v>278</v>
      </c>
      <c r="AZ109" s="340" t="s">
        <v>279</v>
      </c>
      <c r="BA109" s="360">
        <v>8.1000709018000279E-3</v>
      </c>
      <c r="BB109" s="360">
        <v>1.4614802049391215E-2</v>
      </c>
      <c r="BC109" s="360">
        <v>2.4831534664325892E-2</v>
      </c>
      <c r="BD109" s="360">
        <v>9.9057039827182662E-3</v>
      </c>
      <c r="BE109" s="360">
        <v>1.1631608311305648E-2</v>
      </c>
      <c r="BF109" s="360">
        <v>1.6465542803473395E-3</v>
      </c>
      <c r="BG109" s="360">
        <v>1.6051760250250457E-2</v>
      </c>
      <c r="BH109" s="360">
        <v>6.8152413568584669E-3</v>
      </c>
      <c r="BI109" s="360">
        <v>1.7517781122613987E-5</v>
      </c>
      <c r="BJ109" s="360">
        <v>1.2837829865088564E-2</v>
      </c>
    </row>
    <row r="110" spans="8:81" x14ac:dyDescent="0.2">
      <c r="H110" s="339">
        <f>LOG(max_I/min_I,EXP(1))</f>
        <v>10.308952660644293</v>
      </c>
      <c r="I110" s="225"/>
      <c r="J110" s="338" t="s">
        <v>280</v>
      </c>
    </row>
    <row r="111" spans="8:81" x14ac:dyDescent="0.2">
      <c r="AZ111" s="340"/>
      <c r="BA111" s="360"/>
      <c r="BB111" s="360"/>
      <c r="BC111" s="360"/>
      <c r="BD111" s="360"/>
      <c r="BE111" s="360"/>
      <c r="BF111" s="360"/>
      <c r="BG111" s="360"/>
      <c r="BH111" s="360"/>
      <c r="BI111" s="360"/>
      <c r="BJ111" s="360"/>
    </row>
    <row r="112" spans="8:81" x14ac:dyDescent="0.2">
      <c r="J112" s="342"/>
      <c r="R112" s="343"/>
      <c r="S112" s="343"/>
      <c r="T112" s="343"/>
      <c r="U112" s="343"/>
      <c r="V112" s="344"/>
    </row>
    <row r="113" spans="10:22" x14ac:dyDescent="0.2">
      <c r="J113" s="342"/>
      <c r="R113" s="343"/>
      <c r="S113" s="343"/>
      <c r="T113" s="343"/>
      <c r="U113" s="343"/>
      <c r="V113" s="344"/>
    </row>
    <row r="114" spans="10:22" x14ac:dyDescent="0.2">
      <c r="R114" s="345"/>
      <c r="S114" s="345"/>
      <c r="T114" s="345"/>
      <c r="U114" s="345"/>
      <c r="V114" s="344"/>
    </row>
    <row r="116" spans="10:22" x14ac:dyDescent="0.2">
      <c r="R116" s="345"/>
      <c r="S116" s="345"/>
      <c r="T116" s="345"/>
      <c r="U116" s="345"/>
      <c r="V116" s="344"/>
    </row>
    <row r="121" spans="10:22" x14ac:dyDescent="0.2">
      <c r="V121" s="338"/>
    </row>
    <row r="122" spans="10:22" x14ac:dyDescent="0.2">
      <c r="O122" s="338"/>
      <c r="P122" s="338"/>
      <c r="Q122" s="338"/>
    </row>
    <row r="123" spans="10:22" x14ac:dyDescent="0.2">
      <c r="O123" s="338"/>
      <c r="P123" s="338"/>
      <c r="Q123" s="338"/>
    </row>
    <row r="124" spans="10:22" x14ac:dyDescent="0.2">
      <c r="O124" s="338"/>
      <c r="P124" s="338"/>
      <c r="Q124" s="338"/>
    </row>
    <row r="125" spans="10:22" x14ac:dyDescent="0.2">
      <c r="O125" s="338"/>
      <c r="P125" s="338"/>
      <c r="Q125" s="338"/>
    </row>
    <row r="126" spans="10:22" x14ac:dyDescent="0.2">
      <c r="J126" s="346"/>
      <c r="O126" s="338"/>
      <c r="P126" s="338"/>
      <c r="Q126" s="338"/>
    </row>
    <row r="127" spans="10:22" x14ac:dyDescent="0.2">
      <c r="J127" s="346"/>
      <c r="O127" s="338"/>
      <c r="P127" s="338"/>
      <c r="Q127" s="338"/>
    </row>
    <row r="128" spans="10:22" x14ac:dyDescent="0.2">
      <c r="J128" s="346"/>
      <c r="O128" s="338"/>
      <c r="P128" s="338"/>
      <c r="Q128" s="338"/>
    </row>
    <row r="129" spans="10:17" x14ac:dyDescent="0.2">
      <c r="J129" s="337"/>
      <c r="O129" s="338"/>
      <c r="P129" s="338"/>
      <c r="Q129" s="338"/>
    </row>
    <row r="130" spans="10:17" x14ac:dyDescent="0.2">
      <c r="J130" s="337"/>
    </row>
    <row r="131" spans="10:17" x14ac:dyDescent="0.2">
      <c r="J131" s="337"/>
    </row>
    <row r="132" spans="10:17" x14ac:dyDescent="0.2">
      <c r="J132" s="337"/>
    </row>
    <row r="133" spans="10:17" x14ac:dyDescent="0.2">
      <c r="J133" s="337"/>
    </row>
  </sheetData>
  <mergeCells count="4">
    <mergeCell ref="A1:E3"/>
    <mergeCell ref="G2:H2"/>
    <mergeCell ref="A4:E4"/>
    <mergeCell ref="K4:U4"/>
  </mergeCells>
  <phoneticPr fontId="82" type="noConversion"/>
  <conditionalFormatting sqref="B26:B28">
    <cfRule type="cellIs" dxfId="9" priority="8" stopIfTrue="1" operator="notEqual">
      <formula>G28</formula>
    </cfRule>
  </conditionalFormatting>
  <conditionalFormatting sqref="B30:B33 B37:B38">
    <cfRule type="cellIs" dxfId="8" priority="6" stopIfTrue="1" operator="notEqual">
      <formula>G36</formula>
    </cfRule>
  </conditionalFormatting>
  <conditionalFormatting sqref="B35:B36">
    <cfRule type="cellIs" dxfId="7" priority="5" stopIfTrue="1" operator="notEqual">
      <formula>G42</formula>
    </cfRule>
  </conditionalFormatting>
  <conditionalFormatting sqref="B40:B41">
    <cfRule type="cellIs" dxfId="6" priority="4" stopIfTrue="1" operator="notEqual">
      <formula>G53</formula>
    </cfRule>
  </conditionalFormatting>
  <conditionalFormatting sqref="B48:B51">
    <cfRule type="cellIs" dxfId="5" priority="9" stopIfTrue="1" operator="notEqual">
      <formula>G70</formula>
    </cfRule>
  </conditionalFormatting>
  <conditionalFormatting sqref="B46:B47">
    <cfRule type="cellIs" dxfId="4" priority="12" stopIfTrue="1" operator="notEqual">
      <formula>G68</formula>
    </cfRule>
  </conditionalFormatting>
  <conditionalFormatting sqref="B42:B43">
    <cfRule type="cellIs" dxfId="3" priority="13" stopIfTrue="1" operator="notEqual">
      <formula>G55</formula>
    </cfRule>
  </conditionalFormatting>
  <conditionalFormatting sqref="B44">
    <cfRule type="cellIs" dxfId="2" priority="2" stopIfTrue="1" operator="notEqual">
      <formula>G66</formula>
    </cfRule>
  </conditionalFormatting>
  <conditionalFormatting sqref="B29">
    <cfRule type="cellIs" dxfId="1" priority="145" stopIfTrue="1" operator="notEqual">
      <formula>G30</formula>
    </cfRule>
  </conditionalFormatting>
  <pageMargins left="0.75" right="0.75" top="1" bottom="1" header="0.5" footer="0.5"/>
  <pageSetup scale="79" orientation="portrait" r:id="rId1"/>
  <headerFooter alignWithMargins="0"/>
  <colBreaks count="1" manualBreakCount="1">
    <brk id="7" max="1048575" man="1"/>
  </colBreaks>
  <ignoredErrors>
    <ignoredError sqref="B8:B9 BQ6:BQ7" unlockedFormula="1"/>
    <ignoredError sqref="D11" formula="1"/>
  </ignoredErrors>
  <drawing r:id="rId2"/>
  <legacyDrawing r:id="rId3"/>
  <oleObjects>
    <mc:AlternateContent xmlns:mc="http://schemas.openxmlformats.org/markup-compatibility/2006">
      <mc:Choice Requires="x14">
        <oleObject progId="Visio.Drawing.11" shapeId="683009" r:id="rId4">
          <objectPr defaultSize="0" autoPict="0" r:id="rId5">
            <anchor moveWithCells="1">
              <from>
                <xdr:col>22</xdr:col>
                <xdr:colOff>180975</xdr:colOff>
                <xdr:row>111</xdr:row>
                <xdr:rowOff>142875</xdr:rowOff>
              </from>
              <to>
                <xdr:col>36</xdr:col>
                <xdr:colOff>9525</xdr:colOff>
                <xdr:row>125</xdr:row>
                <xdr:rowOff>142875</xdr:rowOff>
              </to>
            </anchor>
          </objectPr>
        </oleObject>
      </mc:Choice>
      <mc:Fallback>
        <oleObject progId="Visio.Drawing.11" shapeId="683009" r:id="rId4"/>
      </mc:Fallback>
    </mc:AlternateContent>
  </oleObject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2:B7"/>
  <sheetViews>
    <sheetView zoomScaleNormal="100" workbookViewId="0">
      <selection activeCell="H7" sqref="H7"/>
    </sheetView>
  </sheetViews>
  <sheetFormatPr defaultRowHeight="12.75" x14ac:dyDescent="0.2"/>
  <cols>
    <col min="2" max="2" width="126.42578125" customWidth="1"/>
  </cols>
  <sheetData>
    <row r="2" spans="1:2" ht="17.25" customHeight="1" x14ac:dyDescent="0.2">
      <c r="A2" s="78" t="str">
        <f>CHOOSE(MODE, "EFF_SINGLE", "EFF_DUAL")</f>
        <v>EFF_SINGLE</v>
      </c>
    </row>
    <row r="5" spans="1:2" ht="409.5" customHeight="1" x14ac:dyDescent="0.2">
      <c r="B5" s="368"/>
    </row>
    <row r="6" spans="1:2" ht="17.100000000000001" customHeight="1" x14ac:dyDescent="0.2"/>
    <row r="7" spans="1:2" ht="409.5" customHeight="1" x14ac:dyDescent="0.2">
      <c r="B7" s="368"/>
    </row>
  </sheetData>
  <phoneticPr fontId="82" type="noConversion"/>
  <pageMargins left="0.7" right="0.7" top="0.75" bottom="0.75" header="0.3" footer="0.3"/>
  <pageSetup orientation="portrait" r:id="rId1"/>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워크시트</vt:lpstr>
      </vt:variant>
      <vt:variant>
        <vt:i4>12</vt:i4>
      </vt:variant>
      <vt:variant>
        <vt:lpstr>이름이 지정된 범위</vt:lpstr>
      </vt:variant>
      <vt:variant>
        <vt:i4>161</vt:i4>
      </vt:variant>
    </vt:vector>
  </HeadingPairs>
  <TitlesOfParts>
    <vt:vector size="173" baseType="lpstr">
      <vt:lpstr>Design Converter</vt:lpstr>
      <vt:lpstr>BOM &amp; Schematic</vt:lpstr>
      <vt:lpstr>EVMs</vt:lpstr>
      <vt:lpstr>Variable Mgmt</vt:lpstr>
      <vt:lpstr>Calculations - Single</vt:lpstr>
      <vt:lpstr>Calculations - Dual</vt:lpstr>
      <vt:lpstr>Fsw vs VIN</vt:lpstr>
      <vt:lpstr>Parameters</vt:lpstr>
      <vt:lpstr>Efficiency Plots</vt:lpstr>
      <vt:lpstr>Fsw Plots</vt:lpstr>
      <vt:lpstr>Schematic Mgmt</vt:lpstr>
      <vt:lpstr>Standard Value Calculator</vt:lpstr>
      <vt:lpstr>_Don1</vt:lpstr>
      <vt:lpstr>BDserR</vt:lpstr>
      <vt:lpstr>Cb</vt:lpstr>
      <vt:lpstr>Parameters!Cin</vt:lpstr>
      <vt:lpstr>Cin</vt:lpstr>
      <vt:lpstr>CinEsrMax</vt:lpstr>
      <vt:lpstr>Cinmin</vt:lpstr>
      <vt:lpstr>CONFIG</vt:lpstr>
      <vt:lpstr>Coss</vt:lpstr>
      <vt:lpstr>Parameters!Cout</vt:lpstr>
      <vt:lpstr>Cout</vt:lpstr>
      <vt:lpstr>Cout_Voltage_Rating</vt:lpstr>
      <vt:lpstr>Cout2</vt:lpstr>
      <vt:lpstr>CoutEsr</vt:lpstr>
      <vt:lpstr>CoutEsr2</vt:lpstr>
      <vt:lpstr>Css</vt:lpstr>
      <vt:lpstr>Css_u</vt:lpstr>
      <vt:lpstr>Csw</vt:lpstr>
      <vt:lpstr>Diode_TC</vt:lpstr>
      <vt:lpstr>Don_Vinmax</vt:lpstr>
      <vt:lpstr>Don_Vinmin</vt:lpstr>
      <vt:lpstr>Don_Vinnom</vt:lpstr>
      <vt:lpstr>EFF_DUAL</vt:lpstr>
      <vt:lpstr>EFF_SINGLE</vt:lpstr>
      <vt:lpstr>Efficiency</vt:lpstr>
      <vt:lpstr>Parameters!Fsw</vt:lpstr>
      <vt:lpstr>Fsw_DCM</vt:lpstr>
      <vt:lpstr>Fsw_DUAL</vt:lpstr>
      <vt:lpstr>Fsw_max</vt:lpstr>
      <vt:lpstr>Fsw_SINGLE</vt:lpstr>
      <vt:lpstr>Icinrms</vt:lpstr>
      <vt:lpstr>Icoutrms</vt:lpstr>
      <vt:lpstr>Iin_Vinmax</vt:lpstr>
      <vt:lpstr>Iin_Vinmin</vt:lpstr>
      <vt:lpstr>Iin_Vinnom</vt:lpstr>
      <vt:lpstr>Iout</vt:lpstr>
      <vt:lpstr>Iout_max</vt:lpstr>
      <vt:lpstr>Iout2</vt:lpstr>
      <vt:lpstr>Iout2_actual</vt:lpstr>
      <vt:lpstr>'Calculations - Dual'!Ioutmax_Vinmax</vt:lpstr>
      <vt:lpstr>Ioutmax_Vinmax</vt:lpstr>
      <vt:lpstr>'Calculations - Dual'!Ioutmax_Vinmin</vt:lpstr>
      <vt:lpstr>Ioutmax_Vinmin</vt:lpstr>
      <vt:lpstr>'Calculations - Dual'!Ioutmax_Vinnom</vt:lpstr>
      <vt:lpstr>Ioutmax_Vinnom</vt:lpstr>
      <vt:lpstr>IQ</vt:lpstr>
      <vt:lpstr>Iripple</vt:lpstr>
      <vt:lpstr>Iss</vt:lpstr>
      <vt:lpstr>Isw_max</vt:lpstr>
      <vt:lpstr>Isw_min</vt:lpstr>
      <vt:lpstr>Iuvlo_hys</vt:lpstr>
      <vt:lpstr>Iuvlo1</vt:lpstr>
      <vt:lpstr>Iuvlo2</vt:lpstr>
      <vt:lpstr>k_core</vt:lpstr>
      <vt:lpstr>L</vt:lpstr>
      <vt:lpstr>Lf</vt:lpstr>
      <vt:lpstr>Lleak</vt:lpstr>
      <vt:lpstr>Lmin</vt:lpstr>
      <vt:lpstr>Ltc</vt:lpstr>
      <vt:lpstr>max_I</vt:lpstr>
      <vt:lpstr>min_I</vt:lpstr>
      <vt:lpstr>MODE</vt:lpstr>
      <vt:lpstr>MODE_SS</vt:lpstr>
      <vt:lpstr>MODE_TC</vt:lpstr>
      <vt:lpstr>MODE_TOP</vt:lpstr>
      <vt:lpstr>MODE_UVLO</vt:lpstr>
      <vt:lpstr>Npri_sec1</vt:lpstr>
      <vt:lpstr>Npri_sec2</vt:lpstr>
      <vt:lpstr>Nps</vt:lpstr>
      <vt:lpstr>Nsec1sec2</vt:lpstr>
      <vt:lpstr>OffTime</vt:lpstr>
      <vt:lpstr>OnTime</vt:lpstr>
      <vt:lpstr>Pi</vt:lpstr>
      <vt:lpstr>Pin</vt:lpstr>
      <vt:lpstr>PLOT_TYPE</vt:lpstr>
      <vt:lpstr>Pout</vt:lpstr>
      <vt:lpstr>Pout_total</vt:lpstr>
      <vt:lpstr>Pout2</vt:lpstr>
      <vt:lpstr>'BOM &amp; Schematic'!Print_Area</vt:lpstr>
      <vt:lpstr>'Design Converter'!Print_Area</vt:lpstr>
      <vt:lpstr>Qg</vt:lpstr>
      <vt:lpstr>Parameters!RCinEsr</vt:lpstr>
      <vt:lpstr>RCinEsr</vt:lpstr>
      <vt:lpstr>Parameters!RCoutEsr</vt:lpstr>
      <vt:lpstr>RCoutEsr</vt:lpstr>
      <vt:lpstr>Rdcr_pri</vt:lpstr>
      <vt:lpstr>Rdcr_sec</vt:lpstr>
      <vt:lpstr>Rdcr_sec2</vt:lpstr>
      <vt:lpstr>Rdson</vt:lpstr>
      <vt:lpstr>Rfb</vt:lpstr>
      <vt:lpstr>Rfb_recommend</vt:lpstr>
      <vt:lpstr>Rfb2_u</vt:lpstr>
      <vt:lpstr>Rout</vt:lpstr>
      <vt:lpstr>Rout2</vt:lpstr>
      <vt:lpstr>rr</vt:lpstr>
      <vt:lpstr>RTC</vt:lpstr>
      <vt:lpstr>RTC_1</vt:lpstr>
      <vt:lpstr>Ruvlo1</vt:lpstr>
      <vt:lpstr>Ruvlo2</vt:lpstr>
      <vt:lpstr>SCH_BIPOLAR_UVLOadj_SSadj_TCno</vt:lpstr>
      <vt:lpstr>SCH_BIPOLAR_UVLOadj_SSadj_TCyes</vt:lpstr>
      <vt:lpstr>SCH_BIPOLAR_UVLOadj_SSint_TCno</vt:lpstr>
      <vt:lpstr>SCH_BIPOLAR_UVLOadj_SSint_TCyes</vt:lpstr>
      <vt:lpstr>SCH_BIPOLAR_UVLOint_SSadj_TCno</vt:lpstr>
      <vt:lpstr>SCH_BIPOLAR_UVLOint_SSadj_TCyes</vt:lpstr>
      <vt:lpstr>SCH_BIPOLAR_UVLOint_SSint_TCno</vt:lpstr>
      <vt:lpstr>SCH_BIPOLAR_UVLOint_SSint_TCyes</vt:lpstr>
      <vt:lpstr>SCH_DUAL_UVLOadj_SSadj_TCno</vt:lpstr>
      <vt:lpstr>SCH_DUAL_UVLOadj_SSadj_TCyes</vt:lpstr>
      <vt:lpstr>SCH_DUAL_UVLOadj_SSint_TCno</vt:lpstr>
      <vt:lpstr>SCH_DUAL_UVLOadj_SSint_TCyes</vt:lpstr>
      <vt:lpstr>SCH_DUAL_UVLOint_SSadj_TCno</vt:lpstr>
      <vt:lpstr>SCH_DUAL_UVLOint_SSadj_TCyes</vt:lpstr>
      <vt:lpstr>SCH_DUAL_UVLOint_SSint_TCno</vt:lpstr>
      <vt:lpstr>SCH_DUAL_UVLOint_SSint_TCyes</vt:lpstr>
      <vt:lpstr>SCH_SINGLE_UVLOadj_SSadj_TCno</vt:lpstr>
      <vt:lpstr>SCH_SINGLE_UVLOadj_SSadj_TCyes</vt:lpstr>
      <vt:lpstr>SCH_SINGLE_UVLOadj_SSint_TCno</vt:lpstr>
      <vt:lpstr>SCH_SINGLE_UVLOadj_SSint_TCyes</vt:lpstr>
      <vt:lpstr>SCH_SINGLE_UVLOint_SSadj_TCno</vt:lpstr>
      <vt:lpstr>SCH_SINGLE_UVLOint_SSadj_TCyes</vt:lpstr>
      <vt:lpstr>SCH_SINGLE_UVLOint_SSint_TCno</vt:lpstr>
      <vt:lpstr>SCH_SINGLE_UVLOint_SSint_TCyes</vt:lpstr>
      <vt:lpstr>Parameters!Ta</vt:lpstr>
      <vt:lpstr>Ta</vt:lpstr>
      <vt:lpstr>TC</vt:lpstr>
      <vt:lpstr>Tfall</vt:lpstr>
      <vt:lpstr>ThetaCa</vt:lpstr>
      <vt:lpstr>TL</vt:lpstr>
      <vt:lpstr>Toff_Vinmax</vt:lpstr>
      <vt:lpstr>Ton_Vinmin</vt:lpstr>
      <vt:lpstr>Trise</vt:lpstr>
      <vt:lpstr>TrrBot</vt:lpstr>
      <vt:lpstr>Tss</vt:lpstr>
      <vt:lpstr>Turns_Ratio</vt:lpstr>
      <vt:lpstr>Turns_Ratio2</vt:lpstr>
      <vt:lpstr>Vdd</vt:lpstr>
      <vt:lpstr>Vfwd1</vt:lpstr>
      <vt:lpstr>Vfwd2</vt:lpstr>
      <vt:lpstr>Vin</vt:lpstr>
      <vt:lpstr>VIN_max</vt:lpstr>
      <vt:lpstr>VIN_min</vt:lpstr>
      <vt:lpstr>VIN_nom</vt:lpstr>
      <vt:lpstr>Vinripple1</vt:lpstr>
      <vt:lpstr>Vinripple2</vt:lpstr>
      <vt:lpstr>VINuvlo_off</vt:lpstr>
      <vt:lpstr>VINuvlo_on</vt:lpstr>
      <vt:lpstr>Vout</vt:lpstr>
      <vt:lpstr>Vout_ripple</vt:lpstr>
      <vt:lpstr>Vout_ripple2</vt:lpstr>
      <vt:lpstr>Vout2</vt:lpstr>
      <vt:lpstr>Vout2_actual</vt:lpstr>
      <vt:lpstr>Vref</vt:lpstr>
      <vt:lpstr>Vripple1_actual</vt:lpstr>
      <vt:lpstr>Vripple1_spec</vt:lpstr>
      <vt:lpstr>Vripple2_actual</vt:lpstr>
      <vt:lpstr>Vripple2_spec</vt:lpstr>
      <vt:lpstr>VRRM_DIODE</vt:lpstr>
      <vt:lpstr>Vuvlo_hys</vt:lpstr>
      <vt:lpstr>Vuvlo_off</vt:lpstr>
      <vt:lpstr>Vuvlo_on</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LM5180 Design Calculator</dc:title>
  <dc:creator>Timothy Hegarty</dc:creator>
  <cp:keywords>LM5180 PSR flyback converter</cp:keywords>
  <cp:lastModifiedBy>BJ Han(Korea)</cp:lastModifiedBy>
  <cp:lastPrinted>2016-03-02T21:18:53Z</cp:lastPrinted>
  <dcterms:created xsi:type="dcterms:W3CDTF">1996-10-14T23:33:28Z</dcterms:created>
  <dcterms:modified xsi:type="dcterms:W3CDTF">2019-02-20T07:12:55Z</dcterms:modified>
</cp:coreProperties>
</file>